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paolo/Dropbox/WeAreStarting/Offerenti/(2:5) CON CONTRATTO/Ipermatch [2022]/Presentazione/"/>
    </mc:Choice>
  </mc:AlternateContent>
  <xr:revisionPtr revIDLastSave="0" documentId="13_ncr:1_{38A41F30-27BF-1E41-975B-614E80195D29}" xr6:coauthVersionLast="45" xr6:coauthVersionMax="48" xr10:uidLastSave="{00000000-0000-0000-0000-000000000000}"/>
  <bookViews>
    <workbookView xWindow="0" yWindow="500" windowWidth="28800" windowHeight="16080" activeTab="2" xr2:uid="{00000000-000D-0000-FFFF-FFFF00000000}"/>
  </bookViews>
  <sheets>
    <sheet name="Copertina" sheetId="1" r:id="rId1"/>
    <sheet name="BP 2022-2024 ECF 375K" sheetId="2" r:id="rId2"/>
    <sheet name="Tabelle" sheetId="3" r:id="rId3"/>
    <sheet name="Grafici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gqQqQ8vS7gs2lUyRG9i1s+B45hHg=="/>
    </ext>
  </extLst>
</workbook>
</file>

<file path=xl/calcChain.xml><?xml version="1.0" encoding="utf-8"?>
<calcChain xmlns="http://schemas.openxmlformats.org/spreadsheetml/2006/main">
  <c r="D37" i="4" l="1"/>
  <c r="E37" i="4" s="1"/>
  <c r="D30" i="4"/>
  <c r="F232" i="2"/>
  <c r="E232" i="2"/>
  <c r="H221" i="2"/>
  <c r="G221" i="2"/>
  <c r="F221" i="2"/>
  <c r="E221" i="2"/>
  <c r="F220" i="2"/>
  <c r="E220" i="2"/>
  <c r="A206" i="2"/>
  <c r="A205" i="2"/>
  <c r="A198" i="2"/>
  <c r="A197" i="2"/>
  <c r="F197" i="2" s="1"/>
  <c r="E196" i="2"/>
  <c r="E186" i="2"/>
  <c r="E205" i="2" s="1"/>
  <c r="E209" i="2" s="1"/>
  <c r="E185" i="2"/>
  <c r="E187" i="2" s="1"/>
  <c r="E243" i="2" s="1"/>
  <c r="E181" i="2"/>
  <c r="E191" i="2" s="1"/>
  <c r="E215" i="2" s="1"/>
  <c r="F181" i="2" s="1"/>
  <c r="E180" i="2"/>
  <c r="E170" i="2"/>
  <c r="E163" i="2"/>
  <c r="H159" i="2"/>
  <c r="G159" i="2"/>
  <c r="F159" i="2"/>
  <c r="E159" i="2"/>
  <c r="E158" i="2"/>
  <c r="E160" i="2" s="1"/>
  <c r="B39" i="4" s="1"/>
  <c r="E137" i="2"/>
  <c r="E139" i="2" s="1"/>
  <c r="C136" i="2"/>
  <c r="E154" i="2" s="1"/>
  <c r="E131" i="2"/>
  <c r="C128" i="2"/>
  <c r="E153" i="2" s="1"/>
  <c r="E245" i="2" s="1"/>
  <c r="H120" i="2"/>
  <c r="H165" i="2" s="1"/>
  <c r="G120" i="2"/>
  <c r="G165" i="2" s="1"/>
  <c r="F120" i="2"/>
  <c r="F165" i="2" s="1"/>
  <c r="E120" i="2"/>
  <c r="E165" i="2" s="1"/>
  <c r="E114" i="2"/>
  <c r="E240" i="2" s="1"/>
  <c r="H106" i="2"/>
  <c r="G106" i="2"/>
  <c r="F106" i="2"/>
  <c r="E106" i="2"/>
  <c r="H102" i="2"/>
  <c r="G102" i="2"/>
  <c r="F102" i="2"/>
  <c r="E92" i="2"/>
  <c r="E141" i="2" s="1"/>
  <c r="G71" i="2"/>
  <c r="H71" i="2" s="1"/>
  <c r="H67" i="2"/>
  <c r="G67" i="2"/>
  <c r="F67" i="2"/>
  <c r="E67" i="2"/>
  <c r="E107" i="2" s="1"/>
  <c r="H58" i="2"/>
  <c r="G58" i="2"/>
  <c r="F58" i="2"/>
  <c r="E58" i="2"/>
  <c r="H57" i="2"/>
  <c r="G57" i="2"/>
  <c r="F57" i="2"/>
  <c r="E57" i="2"/>
  <c r="H56" i="2"/>
  <c r="G56" i="2"/>
  <c r="F56" i="2"/>
  <c r="E56" i="2"/>
  <c r="H49" i="2"/>
  <c r="H55" i="2" s="1"/>
  <c r="H59" i="2" s="1"/>
  <c r="H108" i="2" s="1"/>
  <c r="G49" i="2"/>
  <c r="G55" i="2" s="1"/>
  <c r="G59" i="2" s="1"/>
  <c r="G108" i="2" s="1"/>
  <c r="F49" i="2"/>
  <c r="F55" i="2" s="1"/>
  <c r="F59" i="2" s="1"/>
  <c r="F108" i="2" s="1"/>
  <c r="E49" i="2"/>
  <c r="E55" i="2" s="1"/>
  <c r="E59" i="2" s="1"/>
  <c r="E108" i="2" s="1"/>
  <c r="H46" i="2"/>
  <c r="H82" i="2" s="1"/>
  <c r="H186" i="2" s="1"/>
  <c r="H208" i="2" s="1"/>
  <c r="G46" i="2"/>
  <c r="G82" i="2" s="1"/>
  <c r="G186" i="2" s="1"/>
  <c r="G207" i="2" s="1"/>
  <c r="F46" i="2"/>
  <c r="F82" i="2" s="1"/>
  <c r="F186" i="2" s="1"/>
  <c r="F206" i="2" s="1"/>
  <c r="E46" i="2"/>
  <c r="E37" i="2"/>
  <c r="E36" i="2"/>
  <c r="E35" i="2"/>
  <c r="E34" i="2"/>
  <c r="E38" i="2" s="1"/>
  <c r="E101" i="2" s="1"/>
  <c r="E103" i="2" s="1"/>
  <c r="H30" i="2"/>
  <c r="H29" i="2"/>
  <c r="G29" i="2"/>
  <c r="H28" i="2"/>
  <c r="G28" i="2"/>
  <c r="F28" i="2"/>
  <c r="H19" i="2"/>
  <c r="G19" i="2"/>
  <c r="F19" i="2"/>
  <c r="E14" i="2"/>
  <c r="E8" i="2"/>
  <c r="F8" i="2" s="1"/>
  <c r="G2" i="2"/>
  <c r="A207" i="2" l="1"/>
  <c r="G206" i="2"/>
  <c r="A199" i="2"/>
  <c r="G197" i="2"/>
  <c r="H2" i="2"/>
  <c r="F13" i="2"/>
  <c r="F21" i="2" s="1"/>
  <c r="G8" i="2"/>
  <c r="E15" i="2"/>
  <c r="E16" i="2" s="1"/>
  <c r="F37" i="2"/>
  <c r="F36" i="2"/>
  <c r="F35" i="2"/>
  <c r="F33" i="2"/>
  <c r="F100" i="2" s="1"/>
  <c r="G37" i="2"/>
  <c r="G36" i="2"/>
  <c r="H37" i="2"/>
  <c r="B31" i="4"/>
  <c r="F107" i="2"/>
  <c r="F136" i="2" s="1"/>
  <c r="F81" i="2"/>
  <c r="F185" i="2" s="1"/>
  <c r="G107" i="2"/>
  <c r="G136" i="2" s="1"/>
  <c r="G81" i="2"/>
  <c r="G185" i="2" s="1"/>
  <c r="H107" i="2"/>
  <c r="H136" i="2" s="1"/>
  <c r="H81" i="2"/>
  <c r="H185" i="2" s="1"/>
  <c r="E164" i="2"/>
  <c r="F141" i="2"/>
  <c r="E109" i="2"/>
  <c r="E110" i="2" s="1"/>
  <c r="F109" i="2"/>
  <c r="G109" i="2"/>
  <c r="H109" i="2"/>
  <c r="E166" i="2"/>
  <c r="B40" i="4" s="1"/>
  <c r="E190" i="2"/>
  <c r="E182" i="2"/>
  <c r="F191" i="2"/>
  <c r="E201" i="2"/>
  <c r="E211" i="2" s="1"/>
  <c r="E113" i="2" s="1"/>
  <c r="F196" i="2"/>
  <c r="F205" i="2"/>
  <c r="E222" i="2"/>
  <c r="E224" i="2" s="1"/>
  <c r="F222" i="2"/>
  <c r="E30" i="4"/>
  <c r="G220" i="2" l="1"/>
  <c r="F138" i="2"/>
  <c r="F163" i="2" s="1"/>
  <c r="F166" i="2" s="1"/>
  <c r="C40" i="4" s="1"/>
  <c r="F224" i="2"/>
  <c r="F209" i="2"/>
  <c r="G205" i="2"/>
  <c r="G209" i="2" s="1"/>
  <c r="G196" i="2"/>
  <c r="E244" i="2"/>
  <c r="E151" i="2"/>
  <c r="F215" i="2"/>
  <c r="E214" i="2"/>
  <c r="E192" i="2"/>
  <c r="B32" i="4"/>
  <c r="B33" i="4" s="1"/>
  <c r="E115" i="2"/>
  <c r="E111" i="2"/>
  <c r="G141" i="2"/>
  <c r="H200" i="2"/>
  <c r="H187" i="2"/>
  <c r="H154" i="2"/>
  <c r="H137" i="2"/>
  <c r="G199" i="2"/>
  <c r="G187" i="2"/>
  <c r="G154" i="2"/>
  <c r="G137" i="2"/>
  <c r="F198" i="2"/>
  <c r="F187" i="2"/>
  <c r="F154" i="2"/>
  <c r="F137" i="2"/>
  <c r="F139" i="2" s="1"/>
  <c r="F253" i="2" s="1"/>
  <c r="F22" i="2"/>
  <c r="E21" i="2"/>
  <c r="E33" i="2" s="1"/>
  <c r="F12" i="2"/>
  <c r="F14" i="2" s="1"/>
  <c r="G13" i="2"/>
  <c r="G21" i="2" s="1"/>
  <c r="H8" i="2"/>
  <c r="H13" i="2" s="1"/>
  <c r="H21" i="2" s="1"/>
  <c r="H33" i="2" s="1"/>
  <c r="H100" i="2" s="1"/>
  <c r="H23" i="2"/>
  <c r="H35" i="2" s="1"/>
  <c r="G22" i="2"/>
  <c r="G34" i="2" s="1"/>
  <c r="A208" i="2"/>
  <c r="H207" i="2"/>
  <c r="H206" i="2"/>
  <c r="H205" i="2"/>
  <c r="H209" i="2" s="1"/>
  <c r="A200" i="2"/>
  <c r="H199" i="2"/>
  <c r="H197" i="2"/>
  <c r="H196" i="2"/>
  <c r="H22" i="2" l="1"/>
  <c r="H34" i="2" s="1"/>
  <c r="G33" i="2"/>
  <c r="G100" i="2" s="1"/>
  <c r="F15" i="2"/>
  <c r="F16" i="2" s="1"/>
  <c r="G12" i="2" s="1"/>
  <c r="G14" i="2" s="1"/>
  <c r="G23" i="2"/>
  <c r="F34" i="2"/>
  <c r="F38" i="2" s="1"/>
  <c r="F101" i="2" s="1"/>
  <c r="F103" i="2" s="1"/>
  <c r="F243" i="2"/>
  <c r="F158" i="2"/>
  <c r="F160" i="2" s="1"/>
  <c r="C39" i="4" s="1"/>
  <c r="G198" i="2"/>
  <c r="H198" i="2" s="1"/>
  <c r="H201" i="2" s="1"/>
  <c r="H211" i="2" s="1"/>
  <c r="H113" i="2" s="1"/>
  <c r="F201" i="2"/>
  <c r="G243" i="2"/>
  <c r="G158" i="2"/>
  <c r="G160" i="2" s="1"/>
  <c r="D39" i="4" s="1"/>
  <c r="H243" i="2"/>
  <c r="H158" i="2"/>
  <c r="H160" i="2" s="1"/>
  <c r="E39" i="4" s="1"/>
  <c r="G164" i="2"/>
  <c r="H141" i="2"/>
  <c r="E239" i="2"/>
  <c r="E241" i="2" s="1"/>
  <c r="E229" i="2"/>
  <c r="E118" i="2"/>
  <c r="E216" i="2"/>
  <c r="F180" i="2"/>
  <c r="E130" i="2"/>
  <c r="G181" i="2"/>
  <c r="G191" i="2" s="1"/>
  <c r="G215" i="2" s="1"/>
  <c r="F131" i="2"/>
  <c r="G201" i="2"/>
  <c r="G211" i="2"/>
  <c r="G113" i="2" s="1"/>
  <c r="F211" i="2"/>
  <c r="F113" i="2" s="1"/>
  <c r="G222" i="2"/>
  <c r="H220" i="2" l="1"/>
  <c r="G138" i="2"/>
  <c r="G224" i="2"/>
  <c r="F244" i="2"/>
  <c r="F151" i="2"/>
  <c r="G244" i="2"/>
  <c r="G151" i="2"/>
  <c r="H181" i="2"/>
  <c r="H191" i="2" s="1"/>
  <c r="H215" i="2" s="1"/>
  <c r="H131" i="2" s="1"/>
  <c r="G131" i="2"/>
  <c r="F190" i="2"/>
  <c r="F182" i="2"/>
  <c r="E150" i="2"/>
  <c r="E155" i="2" s="1"/>
  <c r="E142" i="2"/>
  <c r="E233" i="2"/>
  <c r="E234" i="2" s="1"/>
  <c r="H164" i="2"/>
  <c r="H244" i="2"/>
  <c r="H151" i="2"/>
  <c r="C31" i="4"/>
  <c r="F128" i="2"/>
  <c r="F153" i="2" s="1"/>
  <c r="F245" i="2" s="1"/>
  <c r="F110" i="2"/>
  <c r="F70" i="2"/>
  <c r="F114" i="2" s="1"/>
  <c r="F240" i="2" s="1"/>
  <c r="H24" i="2"/>
  <c r="H36" i="2" s="1"/>
  <c r="G35" i="2"/>
  <c r="G38" i="2" s="1"/>
  <c r="G101" i="2" s="1"/>
  <c r="G15" i="2"/>
  <c r="G16" i="2" s="1"/>
  <c r="H12" i="2" s="1"/>
  <c r="H14" i="2" s="1"/>
  <c r="G103" i="2"/>
  <c r="H38" i="2"/>
  <c r="H101" i="2" s="1"/>
  <c r="H103" i="2" s="1"/>
  <c r="H128" i="2" l="1"/>
  <c r="H110" i="2"/>
  <c r="H70" i="2"/>
  <c r="E31" i="4"/>
  <c r="G128" i="2"/>
  <c r="G153" i="2" s="1"/>
  <c r="G245" i="2" s="1"/>
  <c r="G110" i="2"/>
  <c r="G70" i="2"/>
  <c r="D31" i="4"/>
  <c r="H15" i="2"/>
  <c r="H16" i="2" s="1"/>
  <c r="C32" i="4"/>
  <c r="C33" i="4" s="1"/>
  <c r="F115" i="2"/>
  <c r="F111" i="2"/>
  <c r="E235" i="2"/>
  <c r="E236" i="2" s="1"/>
  <c r="E242" i="2" s="1"/>
  <c r="E246" i="2" s="1"/>
  <c r="E143" i="2"/>
  <c r="E144" i="2" s="1"/>
  <c r="B38" i="4"/>
  <c r="E168" i="2"/>
  <c r="E171" i="2" s="1"/>
  <c r="E172" i="2" s="1"/>
  <c r="F214" i="2"/>
  <c r="F192" i="2"/>
  <c r="G114" i="2"/>
  <c r="G240" i="2" s="1"/>
  <c r="G163" i="2"/>
  <c r="G166" i="2" s="1"/>
  <c r="D40" i="4" s="1"/>
  <c r="G139" i="2"/>
  <c r="H222" i="2"/>
  <c r="H138" i="2" l="1"/>
  <c r="H224" i="2"/>
  <c r="H114" i="2" s="1"/>
  <c r="H240" i="2" s="1"/>
  <c r="F216" i="2"/>
  <c r="G180" i="2"/>
  <c r="F130" i="2"/>
  <c r="F170" i="2"/>
  <c r="E127" i="2"/>
  <c r="E129" i="2" s="1"/>
  <c r="E132" i="2" s="1"/>
  <c r="E146" i="2"/>
  <c r="E3" i="2" s="1"/>
  <c r="F239" i="2"/>
  <c r="F241" i="2" s="1"/>
  <c r="F229" i="2"/>
  <c r="F117" i="2"/>
  <c r="F118" i="2" s="1"/>
  <c r="G115" i="2"/>
  <c r="G111" i="2"/>
  <c r="D32" i="4"/>
  <c r="D33" i="4" s="1"/>
  <c r="F250" i="2"/>
  <c r="F251" i="2" s="1"/>
  <c r="H115" i="2"/>
  <c r="H111" i="2"/>
  <c r="E32" i="4"/>
  <c r="E33" i="4" s="1"/>
  <c r="H153" i="2"/>
  <c r="H245" i="2" s="1"/>
  <c r="H239" i="2" l="1"/>
  <c r="H241" i="2" s="1"/>
  <c r="H229" i="2"/>
  <c r="H117" i="2"/>
  <c r="H118" i="2" s="1"/>
  <c r="H150" i="2" s="1"/>
  <c r="H155" i="2" s="1"/>
  <c r="G239" i="2"/>
  <c r="G241" i="2" s="1"/>
  <c r="G229" i="2"/>
  <c r="G117" i="2"/>
  <c r="G118" i="2" s="1"/>
  <c r="G150" i="2" s="1"/>
  <c r="G155" i="2" s="1"/>
  <c r="F150" i="2"/>
  <c r="F155" i="2" s="1"/>
  <c r="F142" i="2"/>
  <c r="F233" i="2"/>
  <c r="F234" i="2" s="1"/>
  <c r="G190" i="2"/>
  <c r="G182" i="2"/>
  <c r="H163" i="2"/>
  <c r="H166" i="2" s="1"/>
  <c r="E40" i="4" s="1"/>
  <c r="H139" i="2"/>
  <c r="G214" i="2" l="1"/>
  <c r="G192" i="2"/>
  <c r="F235" i="2"/>
  <c r="F236" i="2" s="1"/>
  <c r="G142" i="2"/>
  <c r="F143" i="2"/>
  <c r="F144" i="2" s="1"/>
  <c r="C38" i="4"/>
  <c r="F168" i="2"/>
  <c r="F171" i="2" s="1"/>
  <c r="F172" i="2" s="1"/>
  <c r="D38" i="4"/>
  <c r="G168" i="2"/>
  <c r="G171" i="2" s="1"/>
  <c r="G233" i="2"/>
  <c r="E38" i="4"/>
  <c r="H168" i="2"/>
  <c r="H171" i="2" s="1"/>
  <c r="H233" i="2"/>
  <c r="F254" i="2" l="1"/>
  <c r="G170" i="2"/>
  <c r="G172" i="2" s="1"/>
  <c r="F127" i="2"/>
  <c r="F129" i="2" s="1"/>
  <c r="F132" i="2" s="1"/>
  <c r="F146" i="2"/>
  <c r="F3" i="2" s="1"/>
  <c r="H142" i="2"/>
  <c r="H143" i="2" s="1"/>
  <c r="H144" i="2" s="1"/>
  <c r="G143" i="2"/>
  <c r="G144" i="2" s="1"/>
  <c r="F242" i="2"/>
  <c r="F246" i="2" s="1"/>
  <c r="G232" i="2"/>
  <c r="G234" i="2" s="1"/>
  <c r="G216" i="2"/>
  <c r="H180" i="2"/>
  <c r="G130" i="2"/>
  <c r="H190" i="2" l="1"/>
  <c r="H182" i="2"/>
  <c r="G235" i="2"/>
  <c r="G236" i="2" s="1"/>
  <c r="H170" i="2"/>
  <c r="H172" i="2" s="1"/>
  <c r="H127" i="2" s="1"/>
  <c r="H129" i="2" s="1"/>
  <c r="G127" i="2"/>
  <c r="G129" i="2" s="1"/>
  <c r="G132" i="2" s="1"/>
  <c r="G146" i="2" s="1"/>
  <c r="G3" i="2" s="1"/>
  <c r="G242" i="2" l="1"/>
  <c r="G246" i="2" s="1"/>
  <c r="H232" i="2"/>
  <c r="H234" i="2" s="1"/>
  <c r="H214" i="2"/>
  <c r="H192" i="2"/>
  <c r="H216" i="2" l="1"/>
  <c r="H130" i="2"/>
  <c r="H132" i="2" s="1"/>
  <c r="H146" i="2" s="1"/>
  <c r="H3" i="2" s="1"/>
  <c r="H235" i="2"/>
  <c r="H236" i="2" s="1"/>
  <c r="H242" i="2" s="1"/>
  <c r="H246" i="2" s="1"/>
  <c r="F249" i="2" a="1"/>
  <c r="F249" i="2" s="1"/>
  <c r="F252" i="2" s="1"/>
  <c r="F25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7" authorId="0" shapeId="0" xr:uid="{00000000-0006-0000-0100-000003000000}">
      <text>
        <r>
          <rPr>
            <sz val="11"/>
            <color theme="1"/>
            <rFont val="Calibri"/>
            <scheme val="minor"/>
          </rPr>
          <t>======
ID#AAAAYwVqDwk
Ramezzana Daniel    (2022-05-06 08:03:51)
Driver da Initial Item Offering</t>
        </r>
      </text>
    </comment>
    <comment ref="E13" authorId="0" shapeId="0" xr:uid="{00000000-0006-0000-0100-000004000000}">
      <text>
        <r>
          <rPr>
            <sz val="11"/>
            <color theme="1"/>
            <rFont val="Calibri"/>
            <scheme val="minor"/>
          </rPr>
          <t>======
ID#AAAAYwVqDwg
Ramezzana Daniel    (2022-05-06 08:03:51)
Driver da Initial Item Offering</t>
        </r>
      </text>
    </comment>
    <comment ref="E19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ID#AAAAYwVqDws
Ramezzana Daniel    (2022-05-06 08:03:51)
Driver da Initial Item Offering</t>
        </r>
      </text>
    </comment>
    <comment ref="F82" authorId="0" shapeId="0" xr:uid="{00000000-0006-0000-0100-000002000000}">
      <text>
        <r>
          <rPr>
            <sz val="11"/>
            <color theme="1"/>
            <rFont val="Calibri"/>
            <scheme val="minor"/>
          </rPr>
          <t>======
ID#AAAAYwVqDwo
Ramezzana Daniel    (2022-05-06 08:03:51)
Si ipotizza una spesa di attrezzature di 2500€ a dipendente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RmvWIP/QX4J7V9vPkNsCne6ZYBQ=="/>
    </ext>
  </extLst>
</comments>
</file>

<file path=xl/sharedStrings.xml><?xml version="1.0" encoding="utf-8"?>
<sst xmlns="http://schemas.openxmlformats.org/spreadsheetml/2006/main" count="247" uniqueCount="153">
  <si>
    <t>Business Plan 2022 - 2024</t>
  </si>
  <si>
    <t>Startup year</t>
  </si>
  <si>
    <t>Terminal year</t>
  </si>
  <si>
    <t>Check SP</t>
  </si>
  <si>
    <t>Assunzioni</t>
  </si>
  <si>
    <t>Spese di Marketing</t>
  </si>
  <si>
    <t>Budget marketing</t>
  </si>
  <si>
    <t>Customer Acquisition Cost</t>
  </si>
  <si>
    <t>Utenti</t>
  </si>
  <si>
    <t>Tasso di abbandono</t>
  </si>
  <si>
    <t>Utenti inizio periodo</t>
  </si>
  <si>
    <t>Nuovi utenti</t>
  </si>
  <si>
    <t>Subtotale</t>
  </si>
  <si>
    <t>- Utenti persi</t>
  </si>
  <si>
    <t>Utenti fine periodo</t>
  </si>
  <si>
    <t>Ricavi</t>
  </si>
  <si>
    <t>Spesa media utente</t>
  </si>
  <si>
    <t>Nuovi clienti t</t>
  </si>
  <si>
    <t>Utenti t-1</t>
  </si>
  <si>
    <t>Utenti t-2</t>
  </si>
  <si>
    <t>Utenti t-3</t>
  </si>
  <si>
    <t>Utenti t-4</t>
  </si>
  <si>
    <t>Ponderazione t</t>
  </si>
  <si>
    <t>Ponderazione t-1</t>
  </si>
  <si>
    <t>Ponderazione t-2</t>
  </si>
  <si>
    <t>Ponderazione t-3</t>
  </si>
  <si>
    <t>Ponderazione t-4</t>
  </si>
  <si>
    <t>Nuovi ricavi t</t>
  </si>
  <si>
    <t>Ricavi ricorrenti t-1</t>
  </si>
  <si>
    <t>Ricavi ricorrenti t-2</t>
  </si>
  <si>
    <t>Ricavi ricorrenti t-3</t>
  </si>
  <si>
    <t>Ricavi ricorrenti t-4</t>
  </si>
  <si>
    <t>Totale ricavi ricorrenti</t>
  </si>
  <si>
    <t>Costo del personale</t>
  </si>
  <si>
    <t># Dipendenti</t>
  </si>
  <si>
    <t>IT</t>
  </si>
  <si>
    <t>Customer Service</t>
  </si>
  <si>
    <t>Segretaria</t>
  </si>
  <si>
    <t>Contabile</t>
  </si>
  <si>
    <t>Totale</t>
  </si>
  <si>
    <t>Compenso in € (RAL + 30%)</t>
  </si>
  <si>
    <t>Costo totale</t>
  </si>
  <si>
    <t>Costi per servizi</t>
  </si>
  <si>
    <t>Legal</t>
  </si>
  <si>
    <t>Comunicazione</t>
  </si>
  <si>
    <t>Consulenze(IT,Grafica,…)</t>
  </si>
  <si>
    <t>IT (AWS, licenze,..)</t>
  </si>
  <si>
    <t>Altri costi</t>
  </si>
  <si>
    <t>Oneri finanziari</t>
  </si>
  <si>
    <t>Commissioni Paypal, Banca,..</t>
  </si>
  <si>
    <t>% su Ricavi</t>
  </si>
  <si>
    <t>Stato Patrimoniale</t>
  </si>
  <si>
    <t>Attività correnti</t>
  </si>
  <si>
    <t>Giorni Crediti a breve termine</t>
  </si>
  <si>
    <t>Passività correnti</t>
  </si>
  <si>
    <t>Giorni Debiti a breve termine</t>
  </si>
  <si>
    <t>Investimenti (CAPEX)</t>
  </si>
  <si>
    <t>Ricerca e sviluppo</t>
  </si>
  <si>
    <t>PP&amp;E</t>
  </si>
  <si>
    <t>Acquisizioni</t>
  </si>
  <si>
    <t>Ammortamento</t>
  </si>
  <si>
    <t>Ricerca e sviluppo - quote costanti</t>
  </si>
  <si>
    <t>PP&amp;E - quote costanti</t>
  </si>
  <si>
    <t>Finanziamenti</t>
  </si>
  <si>
    <t>Tasso d'interesse</t>
  </si>
  <si>
    <t>Debito sottoscritto (ripagato)</t>
  </si>
  <si>
    <t>Aumenti (rimborsi) di capitale</t>
  </si>
  <si>
    <t>Dividendi pagati</t>
  </si>
  <si>
    <t>Aliquota fiscale</t>
  </si>
  <si>
    <t>Conto Economico</t>
  </si>
  <si>
    <t>Nuovi Ricavi</t>
  </si>
  <si>
    <t>Ricavi ricorrenti</t>
  </si>
  <si>
    <t xml:space="preserve">Altri ricavi </t>
  </si>
  <si>
    <t>Totale Ricavi</t>
  </si>
  <si>
    <t>Costi totali</t>
  </si>
  <si>
    <t>Marketing</t>
  </si>
  <si>
    <t>G&amp;A</t>
  </si>
  <si>
    <t>Personale</t>
  </si>
  <si>
    <t>EBITDA</t>
  </si>
  <si>
    <t>Margine</t>
  </si>
  <si>
    <t>Ammortamenti</t>
  </si>
  <si>
    <t>Oneri Finanziari</t>
  </si>
  <si>
    <t>Reddito ante imposte</t>
  </si>
  <si>
    <t>Totale imposte sul reddito</t>
  </si>
  <si>
    <t>Utile (Perdita)</t>
  </si>
  <si>
    <t>ATTIVO</t>
  </si>
  <si>
    <t>Corrente</t>
  </si>
  <si>
    <t>Cassa ed equivalenti</t>
  </si>
  <si>
    <t>Crediti a breve termine</t>
  </si>
  <si>
    <t>Ricerca e Sviluppo</t>
  </si>
  <si>
    <t>Totale Attivo</t>
  </si>
  <si>
    <t>PASSIVO E PATRIMONIO NETTO</t>
  </si>
  <si>
    <t>Passività</t>
  </si>
  <si>
    <t>Correnti</t>
  </si>
  <si>
    <t>Debiti a breve termine</t>
  </si>
  <si>
    <t>Debito a lungo termine</t>
  </si>
  <si>
    <t>Totale Passività</t>
  </si>
  <si>
    <t>Patrimonio Netto</t>
  </si>
  <si>
    <t>Capitale sociale e riserve</t>
  </si>
  <si>
    <t>Utili non distribuiti</t>
  </si>
  <si>
    <t>Totale Patrimonio Netto</t>
  </si>
  <si>
    <t>Totale Passività e Patrimonio Netto</t>
  </si>
  <si>
    <t>Check</t>
  </si>
  <si>
    <t>Rendiconto Finanziario</t>
  </si>
  <si>
    <t>Flusso di Cassa da Gestione Operativa</t>
  </si>
  <si>
    <t>Utile</t>
  </si>
  <si>
    <t>Variazioni in CCN</t>
  </si>
  <si>
    <t>Investimenti</t>
  </si>
  <si>
    <t>CAPEX</t>
  </si>
  <si>
    <t>Aumento (diminuzione) Debiti</t>
  </si>
  <si>
    <t>Aumento (diminuzione) Equity</t>
  </si>
  <si>
    <t>Flusso di cassa totale</t>
  </si>
  <si>
    <t>Cassa a inizio periodo</t>
  </si>
  <si>
    <t>Incremento (Decremento)</t>
  </si>
  <si>
    <t>Cassa a fine periodo</t>
  </si>
  <si>
    <t>Schede a supporto</t>
  </si>
  <si>
    <t>Immobilizzazioni materiali e immateriali</t>
  </si>
  <si>
    <t>Inizio periodo</t>
  </si>
  <si>
    <t>Aumenti</t>
  </si>
  <si>
    <t>Fine periodo</t>
  </si>
  <si>
    <t>Pianificazione del Debito</t>
  </si>
  <si>
    <t>Debito sottoscritto(ripagato)</t>
  </si>
  <si>
    <t>Interessi sul debito</t>
  </si>
  <si>
    <t>Valuation</t>
  </si>
  <si>
    <t>EBIT</t>
  </si>
  <si>
    <t>Perdita Netta Operativa</t>
  </si>
  <si>
    <t>Inizio Periodo</t>
  </si>
  <si>
    <t>Perdita Corrente</t>
  </si>
  <si>
    <t>Perdite Utilizzate</t>
  </si>
  <si>
    <t>Free Cash Flow</t>
  </si>
  <si>
    <t>Interessi</t>
  </si>
  <si>
    <t>- Tasse</t>
  </si>
  <si>
    <t>- Capex</t>
  </si>
  <si>
    <t>+ Ammortamenti</t>
  </si>
  <si>
    <t>- Variazioni CCN</t>
  </si>
  <si>
    <t>Unlevered Free Cash Flow</t>
  </si>
  <si>
    <t>DCF Valuation</t>
  </si>
  <si>
    <t>NPV of Forecast</t>
  </si>
  <si>
    <t>Terminal Value (EBITDA multiple)</t>
  </si>
  <si>
    <t>NPV of Terminal Value</t>
  </si>
  <si>
    <t>Total Enterprise Value</t>
  </si>
  <si>
    <t>- Debiti</t>
  </si>
  <si>
    <t>+ Cassa</t>
  </si>
  <si>
    <t>Total Equity Value</t>
  </si>
  <si>
    <t>Traction (andamentale vendite e utenti iscritti 2021)</t>
  </si>
  <si>
    <t>Vendite (IVA inclusa)</t>
  </si>
  <si>
    <t>Transazioni</t>
  </si>
  <si>
    <t>Ricavi vs EBITDA</t>
  </si>
  <si>
    <t>EBITDA Margin</t>
  </si>
  <si>
    <t>Flussi di cassa</t>
  </si>
  <si>
    <t>Operating</t>
  </si>
  <si>
    <t>Investing</t>
  </si>
  <si>
    <t>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</si>
</sst>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_-;\(#,##0\)_-;_-* &quot;-&quot;_-;_-@"/>
    <numFmt numFmtId="165" formatCode="0&quot;E&quot;"/>
    <numFmt numFmtId="166" formatCode="_-* #,##0.00\ &quot;€&quot;_-;\-* #,##0.00\ &quot;€&quot;_-;_-* &quot;-&quot;??\ &quot;€&quot;_-;_-@"/>
    <numFmt numFmtId="167" formatCode="_(* #,##0_);_(* \(#,##0\);_(* &quot;-&quot;??_);_(@_)"/>
    <numFmt numFmtId="168" formatCode="#,##0.0_);\(#,##0.0\)"/>
    <numFmt numFmtId="169" formatCode="0.0%"/>
    <numFmt numFmtId="170" formatCode="#,##0.000_);\(#,##0.000\)"/>
    <numFmt numFmtId="171" formatCode="0.0\x"/>
    <numFmt numFmtId="172" formatCode="_(* #,##0.00_);_(* \(#,##0.00\);_(* &quot;-&quot;??_);_(@_)"/>
    <numFmt numFmtId="173" formatCode="[$-410]d\-mmm"/>
    <numFmt numFmtId="174" formatCode="_-* #,##0\ &quot;€&quot;_-;\-* #,##0\ &quot;€&quot;_-;_-* &quot;-&quot;??\ &quot;€&quot;_-;_-@"/>
  </numFmts>
  <fonts count="21">
    <font>
      <sz val="11"/>
      <color theme="1"/>
      <name val="Calibri"/>
      <scheme val="minor"/>
    </font>
    <font>
      <sz val="11"/>
      <color theme="1"/>
      <name val="Calibri"/>
    </font>
    <font>
      <b/>
      <sz val="28"/>
      <color theme="0"/>
      <name val="Quattrocento Sans"/>
    </font>
    <font>
      <sz val="11"/>
      <color theme="0"/>
      <name val="Quattrocento Sans"/>
    </font>
    <font>
      <sz val="11"/>
      <color theme="1"/>
      <name val="Quattrocento Sans"/>
    </font>
    <font>
      <i/>
      <sz val="11"/>
      <color theme="0"/>
      <name val="Quattrocento Sans"/>
    </font>
    <font>
      <sz val="16"/>
      <color theme="0"/>
      <name val="Quattrocento Sans"/>
    </font>
    <font>
      <b/>
      <sz val="14"/>
      <color theme="0"/>
      <name val="Quattrocento Sans"/>
    </font>
    <font>
      <i/>
      <sz val="11"/>
      <color theme="1"/>
      <name val="Quattrocento Sans"/>
    </font>
    <font>
      <b/>
      <sz val="11"/>
      <color theme="1"/>
      <name val="Quattrocento Sans"/>
    </font>
    <font>
      <sz val="14"/>
      <color theme="1"/>
      <name val="Quattrocento Sans"/>
    </font>
    <font>
      <sz val="11"/>
      <color rgb="FF0000FF"/>
      <name val="Quattrocento Sans"/>
    </font>
    <font>
      <b/>
      <sz val="11"/>
      <color theme="0"/>
      <name val="Quattrocento Sans"/>
    </font>
    <font>
      <b/>
      <sz val="11"/>
      <color theme="1"/>
      <name val="Calibri"/>
    </font>
    <font>
      <sz val="11"/>
      <color theme="0"/>
      <name val="Calibri"/>
    </font>
    <font>
      <sz val="11"/>
      <color theme="1"/>
      <name val="Calibri"/>
      <scheme val="minor"/>
    </font>
    <font>
      <sz val="11"/>
      <color rgb="FF0000FF"/>
      <name val="Calibri"/>
    </font>
    <font>
      <b/>
      <sz val="11"/>
      <color rgb="FFFF0000"/>
      <name val="Quattrocento Sans"/>
    </font>
    <font>
      <b/>
      <sz val="11"/>
      <color rgb="FF00B050"/>
      <name val="Quattrocento Sans"/>
    </font>
    <font>
      <b/>
      <sz val="15"/>
      <color rgb="FF44546A"/>
      <name val="Quattrocento Sans"/>
    </font>
    <font>
      <b/>
      <i/>
      <sz val="11"/>
      <color theme="1"/>
      <name val="Quattrocento Sans"/>
    </font>
  </fonts>
  <fills count="6">
    <fill>
      <patternFill patternType="none"/>
    </fill>
    <fill>
      <patternFill patternType="gray125"/>
    </fill>
    <fill>
      <patternFill patternType="solid">
        <fgColor rgb="FF1C89EC"/>
        <bgColor rgb="FF1C89EC"/>
      </patternFill>
    </fill>
    <fill>
      <patternFill patternType="solid">
        <fgColor rgb="FFECECEC"/>
        <bgColor rgb="FFECECEC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37" fontId="3" fillId="2" borderId="1" xfId="0" applyNumberFormat="1" applyFont="1" applyFill="1" applyBorder="1" applyAlignment="1">
      <alignment vertical="top"/>
    </xf>
    <xf numFmtId="37" fontId="3" fillId="2" borderId="1" xfId="0" applyNumberFormat="1" applyFont="1" applyFill="1" applyBorder="1" applyAlignment="1">
      <alignment horizontal="right" vertical="top"/>
    </xf>
    <xf numFmtId="37" fontId="4" fillId="0" borderId="0" xfId="0" applyNumberFormat="1" applyFont="1"/>
    <xf numFmtId="164" fontId="5" fillId="2" borderId="1" xfId="0" applyNumberFormat="1" applyFont="1" applyFill="1" applyBorder="1" applyAlignment="1">
      <alignment horizontal="left"/>
    </xf>
    <xf numFmtId="37" fontId="6" fillId="2" borderId="1" xfId="0" applyNumberFormat="1" applyFont="1" applyFill="1" applyBorder="1"/>
    <xf numFmtId="0" fontId="7" fillId="2" borderId="1" xfId="0" applyFont="1" applyFill="1" applyBorder="1"/>
    <xf numFmtId="165" fontId="7" fillId="2" borderId="1" xfId="0" applyNumberFormat="1" applyFont="1" applyFill="1" applyBorder="1"/>
    <xf numFmtId="164" fontId="8" fillId="0" borderId="0" xfId="0" applyNumberFormat="1" applyFont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4" fillId="0" borderId="0" xfId="0" applyNumberFormat="1" applyFont="1"/>
    <xf numFmtId="37" fontId="3" fillId="0" borderId="0" xfId="0" applyNumberFormat="1" applyFont="1"/>
    <xf numFmtId="37" fontId="9" fillId="0" borderId="0" xfId="0" applyNumberFormat="1" applyFont="1"/>
    <xf numFmtId="37" fontId="7" fillId="2" borderId="1" xfId="0" applyNumberFormat="1" applyFont="1" applyFill="1" applyBorder="1" applyAlignment="1">
      <alignment vertical="center"/>
    </xf>
    <xf numFmtId="37" fontId="10" fillId="0" borderId="0" xfId="0" applyNumberFormat="1" applyFont="1" applyAlignment="1">
      <alignment vertical="center"/>
    </xf>
    <xf numFmtId="37" fontId="9" fillId="3" borderId="1" xfId="0" applyNumberFormat="1" applyFont="1" applyFill="1" applyBorder="1"/>
    <xf numFmtId="37" fontId="4" fillId="3" borderId="1" xfId="0" applyNumberFormat="1" applyFont="1" applyFill="1" applyBorder="1"/>
    <xf numFmtId="37" fontId="3" fillId="3" borderId="1" xfId="0" applyNumberFormat="1" applyFont="1" applyFill="1" applyBorder="1"/>
    <xf numFmtId="0" fontId="4" fillId="0" borderId="0" xfId="0" applyFont="1"/>
    <xf numFmtId="0" fontId="3" fillId="0" borderId="0" xfId="0" applyFont="1"/>
    <xf numFmtId="37" fontId="11" fillId="4" borderId="1" xfId="0" applyNumberFormat="1" applyFont="1" applyFill="1" applyBorder="1"/>
    <xf numFmtId="37" fontId="11" fillId="0" borderId="0" xfId="0" applyNumberFormat="1" applyFont="1"/>
    <xf numFmtId="9" fontId="11" fillId="0" borderId="0" xfId="0" applyNumberFormat="1" applyFont="1"/>
    <xf numFmtId="37" fontId="4" fillId="0" borderId="2" xfId="0" applyNumberFormat="1" applyFont="1" applyBorder="1"/>
    <xf numFmtId="37" fontId="3" fillId="0" borderId="2" xfId="0" applyNumberFormat="1" applyFont="1" applyBorder="1"/>
    <xf numFmtId="37" fontId="4" fillId="0" borderId="0" xfId="0" quotePrefix="1" applyNumberFormat="1" applyFont="1"/>
    <xf numFmtId="37" fontId="9" fillId="0" borderId="2" xfId="0" applyNumberFormat="1" applyFont="1" applyBorder="1"/>
    <xf numFmtId="37" fontId="12" fillId="0" borderId="2" xfId="0" applyNumberFormat="1" applyFont="1" applyBorder="1"/>
    <xf numFmtId="166" fontId="11" fillId="4" borderId="1" xfId="0" applyNumberFormat="1" applyFont="1" applyFill="1" applyBorder="1"/>
    <xf numFmtId="166" fontId="4" fillId="0" borderId="0" xfId="0" applyNumberFormat="1" applyFont="1"/>
    <xf numFmtId="9" fontId="4" fillId="3" borderId="1" xfId="0" applyNumberFormat="1" applyFont="1" applyFill="1" applyBorder="1"/>
    <xf numFmtId="9" fontId="4" fillId="0" borderId="0" xfId="0" applyNumberFormat="1" applyFont="1"/>
    <xf numFmtId="0" fontId="9" fillId="0" borderId="0" xfId="0" applyFont="1"/>
    <xf numFmtId="0" fontId="12" fillId="0" borderId="0" xfId="0" applyFont="1"/>
    <xf numFmtId="0" fontId="4" fillId="0" borderId="2" xfId="0" applyFont="1" applyBorder="1"/>
    <xf numFmtId="0" fontId="3" fillId="0" borderId="2" xfId="0" applyFont="1" applyBorder="1"/>
    <xf numFmtId="0" fontId="9" fillId="0" borderId="2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2" xfId="0" applyFont="1" applyBorder="1"/>
    <xf numFmtId="0" fontId="1" fillId="0" borderId="2" xfId="0" applyFont="1" applyBorder="1"/>
    <xf numFmtId="0" fontId="14" fillId="0" borderId="2" xfId="0" applyFont="1" applyBorder="1"/>
    <xf numFmtId="9" fontId="16" fillId="0" borderId="0" xfId="0" applyNumberFormat="1" applyFont="1"/>
    <xf numFmtId="167" fontId="16" fillId="0" borderId="0" xfId="0" applyNumberFormat="1" applyFont="1"/>
    <xf numFmtId="167" fontId="1" fillId="0" borderId="0" xfId="0" applyNumberFormat="1" applyFont="1"/>
    <xf numFmtId="167" fontId="13" fillId="0" borderId="2" xfId="0" applyNumberFormat="1" applyFont="1" applyBorder="1"/>
    <xf numFmtId="167" fontId="4" fillId="0" borderId="0" xfId="0" applyNumberFormat="1" applyFont="1"/>
    <xf numFmtId="167" fontId="16" fillId="5" borderId="1" xfId="0" applyNumberFormat="1" applyFont="1" applyFill="1" applyBorder="1"/>
    <xf numFmtId="0" fontId="11" fillId="0" borderId="0" xfId="0" applyFont="1"/>
    <xf numFmtId="37" fontId="11" fillId="0" borderId="0" xfId="0" applyNumberFormat="1" applyFont="1" applyAlignment="1">
      <alignment horizontal="center"/>
    </xf>
    <xf numFmtId="168" fontId="4" fillId="0" borderId="0" xfId="0" applyNumberFormat="1" applyFont="1"/>
    <xf numFmtId="10" fontId="11" fillId="0" borderId="0" xfId="0" applyNumberFormat="1" applyFont="1"/>
    <xf numFmtId="10" fontId="11" fillId="0" borderId="0" xfId="0" applyNumberFormat="1" applyFont="1" applyAlignment="1">
      <alignment horizontal="center"/>
    </xf>
    <xf numFmtId="37" fontId="7" fillId="0" borderId="0" xfId="0" applyNumberFormat="1" applyFont="1" applyAlignment="1">
      <alignment vertical="center"/>
    </xf>
    <xf numFmtId="37" fontId="12" fillId="0" borderId="0" xfId="0" applyNumberFormat="1" applyFont="1"/>
    <xf numFmtId="37" fontId="8" fillId="0" borderId="0" xfId="0" applyNumberFormat="1" applyFont="1"/>
    <xf numFmtId="169" fontId="8" fillId="0" borderId="0" xfId="0" applyNumberFormat="1" applyFont="1"/>
    <xf numFmtId="37" fontId="9" fillId="0" borderId="3" xfId="0" applyNumberFormat="1" applyFont="1" applyBorder="1"/>
    <xf numFmtId="37" fontId="12" fillId="0" borderId="3" xfId="0" applyNumberFormat="1" applyFont="1" applyBorder="1"/>
    <xf numFmtId="37" fontId="4" fillId="0" borderId="3" xfId="0" applyNumberFormat="1" applyFont="1" applyBorder="1"/>
    <xf numFmtId="37" fontId="3" fillId="0" borderId="3" xfId="0" applyNumberFormat="1" applyFont="1" applyBorder="1"/>
    <xf numFmtId="170" fontId="8" fillId="0" borderId="0" xfId="0" applyNumberFormat="1" applyFont="1"/>
    <xf numFmtId="37" fontId="17" fillId="0" borderId="0" xfId="0" applyNumberFormat="1" applyFont="1"/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left"/>
    </xf>
    <xf numFmtId="171" fontId="11" fillId="0" borderId="0" xfId="0" applyNumberFormat="1" applyFont="1"/>
    <xf numFmtId="171" fontId="4" fillId="0" borderId="0" xfId="0" applyNumberFormat="1" applyFont="1"/>
    <xf numFmtId="39" fontId="4" fillId="0" borderId="0" xfId="0" applyNumberFormat="1" applyFont="1"/>
    <xf numFmtId="171" fontId="9" fillId="0" borderId="0" xfId="0" applyNumberFormat="1" applyFont="1" applyAlignment="1">
      <alignment horizontal="right"/>
    </xf>
    <xf numFmtId="172" fontId="9" fillId="0" borderId="0" xfId="0" applyNumberFormat="1" applyFont="1"/>
    <xf numFmtId="37" fontId="18" fillId="0" borderId="0" xfId="0" applyNumberFormat="1" applyFont="1"/>
    <xf numFmtId="0" fontId="19" fillId="0" borderId="4" xfId="0" applyFont="1" applyBorder="1"/>
    <xf numFmtId="173" fontId="7" fillId="2" borderId="1" xfId="0" applyNumberFormat="1" applyFont="1" applyFill="1" applyBorder="1" applyAlignment="1">
      <alignment horizontal="center"/>
    </xf>
    <xf numFmtId="174" fontId="4" fillId="0" borderId="5" xfId="0" applyNumberFormat="1" applyFont="1" applyBorder="1"/>
    <xf numFmtId="167" fontId="4" fillId="0" borderId="5" xfId="0" applyNumberFormat="1" applyFont="1" applyBorder="1"/>
    <xf numFmtId="0" fontId="7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37" fontId="9" fillId="0" borderId="5" xfId="0" applyNumberFormat="1" applyFont="1" applyBorder="1"/>
    <xf numFmtId="166" fontId="4" fillId="0" borderId="5" xfId="0" applyNumberFormat="1" applyFont="1" applyBorder="1"/>
    <xf numFmtId="0" fontId="20" fillId="0" borderId="5" xfId="0" applyFont="1" applyBorder="1" applyAlignment="1">
      <alignment horizontal="left"/>
    </xf>
    <xf numFmtId="169" fontId="8" fillId="0" borderId="5" xfId="0" applyNumberFormat="1" applyFont="1" applyBorder="1" applyAlignment="1">
      <alignment horizontal="center"/>
    </xf>
    <xf numFmtId="0" fontId="9" fillId="0" borderId="5" xfId="0" applyFont="1" applyBorder="1"/>
  </cellXfs>
  <cellStyles count="1">
    <cellStyle name="Normale" xfId="0" builtinId="0"/>
  </cellStyles>
  <dxfs count="1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autoTitleDeleted val="1"/>
    <c:plotArea>
      <c:layout>
        <c:manualLayout>
          <c:xMode val="edge"/>
          <c:yMode val="edge"/>
          <c:x val="0.13930314960629922"/>
          <c:y val="0.11615740740740743"/>
          <c:w val="0.79467585301837274"/>
          <c:h val="0.54668015456401287"/>
        </c:manualLayout>
      </c:layout>
      <c:areaChart>
        <c:grouping val="standard"/>
        <c:varyColors val="1"/>
        <c:ser>
          <c:idx val="0"/>
          <c:order val="0"/>
          <c:tx>
            <c:v>Vendite (IVA inclusa)</c:v>
          </c:tx>
          <c:spPr>
            <a:solidFill>
              <a:srgbClr val="5B9BD5">
                <a:alpha val="30000"/>
              </a:srgbClr>
            </a:solidFill>
            <a:ln cmpd="sng">
              <a:solidFill>
                <a:srgbClr val="5B9BD5"/>
              </a:solidFill>
            </a:ln>
          </c:spPr>
          <c:cat>
            <c:numRef>
              <c:f>Grafici!$B$4:$BW$4</c:f>
              <c:numCache>
                <c:formatCode>[$-410]d\-mmm</c:formatCode>
                <c:ptCount val="74"/>
                <c:pt idx="0">
                  <c:v>44439</c:v>
                </c:pt>
                <c:pt idx="1">
                  <c:v>44440</c:v>
                </c:pt>
                <c:pt idx="2">
                  <c:v>44441</c:v>
                </c:pt>
                <c:pt idx="3">
                  <c:v>44442</c:v>
                </c:pt>
                <c:pt idx="4">
                  <c:v>44443</c:v>
                </c:pt>
                <c:pt idx="5">
                  <c:v>44444</c:v>
                </c:pt>
                <c:pt idx="6">
                  <c:v>44445</c:v>
                </c:pt>
                <c:pt idx="7">
                  <c:v>44446</c:v>
                </c:pt>
                <c:pt idx="8">
                  <c:v>44447</c:v>
                </c:pt>
                <c:pt idx="9">
                  <c:v>44448</c:v>
                </c:pt>
                <c:pt idx="10">
                  <c:v>44449</c:v>
                </c:pt>
                <c:pt idx="11">
                  <c:v>44450</c:v>
                </c:pt>
                <c:pt idx="12">
                  <c:v>44451</c:v>
                </c:pt>
                <c:pt idx="13">
                  <c:v>44452</c:v>
                </c:pt>
                <c:pt idx="14">
                  <c:v>44453</c:v>
                </c:pt>
                <c:pt idx="15">
                  <c:v>44454</c:v>
                </c:pt>
                <c:pt idx="16">
                  <c:v>44455</c:v>
                </c:pt>
                <c:pt idx="17">
                  <c:v>44456</c:v>
                </c:pt>
                <c:pt idx="18">
                  <c:v>44457</c:v>
                </c:pt>
                <c:pt idx="19">
                  <c:v>44458</c:v>
                </c:pt>
                <c:pt idx="20">
                  <c:v>44459</c:v>
                </c:pt>
                <c:pt idx="21">
                  <c:v>44460</c:v>
                </c:pt>
                <c:pt idx="22">
                  <c:v>44461</c:v>
                </c:pt>
                <c:pt idx="23">
                  <c:v>44462</c:v>
                </c:pt>
                <c:pt idx="24">
                  <c:v>44463</c:v>
                </c:pt>
                <c:pt idx="25">
                  <c:v>44464</c:v>
                </c:pt>
                <c:pt idx="26">
                  <c:v>44465</c:v>
                </c:pt>
                <c:pt idx="27">
                  <c:v>44466</c:v>
                </c:pt>
                <c:pt idx="28">
                  <c:v>44467</c:v>
                </c:pt>
                <c:pt idx="29">
                  <c:v>44468</c:v>
                </c:pt>
                <c:pt idx="30">
                  <c:v>44469</c:v>
                </c:pt>
                <c:pt idx="31">
                  <c:v>44470</c:v>
                </c:pt>
                <c:pt idx="32">
                  <c:v>44471</c:v>
                </c:pt>
                <c:pt idx="33">
                  <c:v>44472</c:v>
                </c:pt>
                <c:pt idx="34">
                  <c:v>44473</c:v>
                </c:pt>
                <c:pt idx="35">
                  <c:v>44474</c:v>
                </c:pt>
                <c:pt idx="36">
                  <c:v>44475</c:v>
                </c:pt>
                <c:pt idx="37">
                  <c:v>44476</c:v>
                </c:pt>
                <c:pt idx="38">
                  <c:v>44477</c:v>
                </c:pt>
                <c:pt idx="39">
                  <c:v>44478</c:v>
                </c:pt>
                <c:pt idx="40">
                  <c:v>44479</c:v>
                </c:pt>
                <c:pt idx="41">
                  <c:v>44480</c:v>
                </c:pt>
                <c:pt idx="42">
                  <c:v>44481</c:v>
                </c:pt>
                <c:pt idx="43">
                  <c:v>44482</c:v>
                </c:pt>
                <c:pt idx="44">
                  <c:v>44483</c:v>
                </c:pt>
                <c:pt idx="45">
                  <c:v>44484</c:v>
                </c:pt>
                <c:pt idx="46">
                  <c:v>44485</c:v>
                </c:pt>
                <c:pt idx="47">
                  <c:v>44486</c:v>
                </c:pt>
                <c:pt idx="48">
                  <c:v>44487</c:v>
                </c:pt>
                <c:pt idx="49">
                  <c:v>44488</c:v>
                </c:pt>
                <c:pt idx="50">
                  <c:v>44489</c:v>
                </c:pt>
                <c:pt idx="51">
                  <c:v>44490</c:v>
                </c:pt>
                <c:pt idx="52">
                  <c:v>44491</c:v>
                </c:pt>
                <c:pt idx="53">
                  <c:v>44492</c:v>
                </c:pt>
                <c:pt idx="54">
                  <c:v>44493</c:v>
                </c:pt>
                <c:pt idx="55">
                  <c:v>44494</c:v>
                </c:pt>
                <c:pt idx="56">
                  <c:v>44495</c:v>
                </c:pt>
                <c:pt idx="57">
                  <c:v>44496</c:v>
                </c:pt>
                <c:pt idx="58">
                  <c:v>44497</c:v>
                </c:pt>
                <c:pt idx="59">
                  <c:v>44498</c:v>
                </c:pt>
                <c:pt idx="60">
                  <c:v>44499</c:v>
                </c:pt>
                <c:pt idx="61">
                  <c:v>44500</c:v>
                </c:pt>
                <c:pt idx="62">
                  <c:v>44501</c:v>
                </c:pt>
                <c:pt idx="63">
                  <c:v>44502</c:v>
                </c:pt>
                <c:pt idx="64">
                  <c:v>44503</c:v>
                </c:pt>
                <c:pt idx="65">
                  <c:v>44522</c:v>
                </c:pt>
                <c:pt idx="66">
                  <c:v>44523</c:v>
                </c:pt>
                <c:pt idx="67">
                  <c:v>44524</c:v>
                </c:pt>
                <c:pt idx="68">
                  <c:v>44525</c:v>
                </c:pt>
                <c:pt idx="69">
                  <c:v>44526</c:v>
                </c:pt>
                <c:pt idx="70">
                  <c:v>44527</c:v>
                </c:pt>
                <c:pt idx="71">
                  <c:v>44528</c:v>
                </c:pt>
                <c:pt idx="72">
                  <c:v>44529</c:v>
                </c:pt>
                <c:pt idx="73">
                  <c:v>44531</c:v>
                </c:pt>
              </c:numCache>
            </c:numRef>
          </c:cat>
          <c:val>
            <c:numRef>
              <c:f>Grafici!$B$5:$BW$5</c:f>
              <c:numCache>
                <c:formatCode>_-* #,##0\ "€"_-;\-* #,##0\ "€"_-;_-* "-"??\ "€"_-;_-@</c:formatCode>
                <c:ptCount val="74"/>
                <c:pt idx="0">
                  <c:v>9.57</c:v>
                </c:pt>
                <c:pt idx="1">
                  <c:v>823.35</c:v>
                </c:pt>
                <c:pt idx="2">
                  <c:v>1585.2799999999997</c:v>
                </c:pt>
                <c:pt idx="3">
                  <c:v>1969.7399999999998</c:v>
                </c:pt>
                <c:pt idx="4">
                  <c:v>2395.5499999999997</c:v>
                </c:pt>
                <c:pt idx="5">
                  <c:v>2727.5399999999995</c:v>
                </c:pt>
                <c:pt idx="6">
                  <c:v>3293.6399999999994</c:v>
                </c:pt>
                <c:pt idx="7">
                  <c:v>3543.8899999999994</c:v>
                </c:pt>
                <c:pt idx="8">
                  <c:v>4194.6499999999996</c:v>
                </c:pt>
                <c:pt idx="9">
                  <c:v>9793.4399999999932</c:v>
                </c:pt>
                <c:pt idx="10">
                  <c:v>10829.219999999994</c:v>
                </c:pt>
                <c:pt idx="11">
                  <c:v>11562.509999999995</c:v>
                </c:pt>
                <c:pt idx="12">
                  <c:v>12023.819999999994</c:v>
                </c:pt>
                <c:pt idx="13">
                  <c:v>12500.799999999994</c:v>
                </c:pt>
                <c:pt idx="14">
                  <c:v>13040.469999999994</c:v>
                </c:pt>
                <c:pt idx="15">
                  <c:v>14483.959999999995</c:v>
                </c:pt>
                <c:pt idx="16">
                  <c:v>18616.239999999991</c:v>
                </c:pt>
                <c:pt idx="17">
                  <c:v>20425.509999999991</c:v>
                </c:pt>
                <c:pt idx="18">
                  <c:v>21664.819999999992</c:v>
                </c:pt>
                <c:pt idx="19">
                  <c:v>22512.499999999993</c:v>
                </c:pt>
                <c:pt idx="20">
                  <c:v>23370.199999999993</c:v>
                </c:pt>
                <c:pt idx="21">
                  <c:v>25081.659999999993</c:v>
                </c:pt>
                <c:pt idx="22">
                  <c:v>27706.589999999993</c:v>
                </c:pt>
                <c:pt idx="23">
                  <c:v>35128.929999999986</c:v>
                </c:pt>
                <c:pt idx="24">
                  <c:v>36868.089999999989</c:v>
                </c:pt>
                <c:pt idx="25">
                  <c:v>38048.609999999986</c:v>
                </c:pt>
                <c:pt idx="26">
                  <c:v>38991.729999999989</c:v>
                </c:pt>
                <c:pt idx="27">
                  <c:v>39838.639999999992</c:v>
                </c:pt>
                <c:pt idx="28">
                  <c:v>40990.789999999994</c:v>
                </c:pt>
                <c:pt idx="29">
                  <c:v>42349.639999999992</c:v>
                </c:pt>
                <c:pt idx="30">
                  <c:v>44641.119999999995</c:v>
                </c:pt>
                <c:pt idx="31">
                  <c:v>46893.17</c:v>
                </c:pt>
                <c:pt idx="32">
                  <c:v>48654.69</c:v>
                </c:pt>
                <c:pt idx="33">
                  <c:v>50123.71</c:v>
                </c:pt>
                <c:pt idx="34">
                  <c:v>51148</c:v>
                </c:pt>
                <c:pt idx="35">
                  <c:v>52383.07</c:v>
                </c:pt>
                <c:pt idx="36">
                  <c:v>54119.21</c:v>
                </c:pt>
                <c:pt idx="37">
                  <c:v>59308.17</c:v>
                </c:pt>
                <c:pt idx="38">
                  <c:v>60436.45</c:v>
                </c:pt>
                <c:pt idx="39">
                  <c:v>61883.93</c:v>
                </c:pt>
                <c:pt idx="40">
                  <c:v>63404.82</c:v>
                </c:pt>
                <c:pt idx="41">
                  <c:v>65954.880000000005</c:v>
                </c:pt>
                <c:pt idx="42">
                  <c:v>68346.740000000005</c:v>
                </c:pt>
                <c:pt idx="43">
                  <c:v>74454.180000000008</c:v>
                </c:pt>
                <c:pt idx="44">
                  <c:v>77398.13</c:v>
                </c:pt>
                <c:pt idx="45">
                  <c:v>79370.92</c:v>
                </c:pt>
                <c:pt idx="46">
                  <c:v>81510.63</c:v>
                </c:pt>
                <c:pt idx="47">
                  <c:v>83636.47</c:v>
                </c:pt>
                <c:pt idx="48">
                  <c:v>85263.96</c:v>
                </c:pt>
                <c:pt idx="49">
                  <c:v>86856.82</c:v>
                </c:pt>
                <c:pt idx="50">
                  <c:v>87978.400000000009</c:v>
                </c:pt>
                <c:pt idx="51">
                  <c:v>89536.87000000001</c:v>
                </c:pt>
                <c:pt idx="52">
                  <c:v>91079.48000000001</c:v>
                </c:pt>
                <c:pt idx="53">
                  <c:v>92634.13</c:v>
                </c:pt>
                <c:pt idx="54">
                  <c:v>94767.75</c:v>
                </c:pt>
                <c:pt idx="55">
                  <c:v>97203.36</c:v>
                </c:pt>
                <c:pt idx="56">
                  <c:v>98591.45</c:v>
                </c:pt>
                <c:pt idx="57">
                  <c:v>100058.95</c:v>
                </c:pt>
                <c:pt idx="58">
                  <c:v>102606.56999999999</c:v>
                </c:pt>
                <c:pt idx="59">
                  <c:v>104577.89</c:v>
                </c:pt>
                <c:pt idx="60">
                  <c:v>106115.15</c:v>
                </c:pt>
                <c:pt idx="61">
                  <c:v>108078.68999999999</c:v>
                </c:pt>
                <c:pt idx="62">
                  <c:v>111478.39999999999</c:v>
                </c:pt>
                <c:pt idx="63">
                  <c:v>112687.62999999999</c:v>
                </c:pt>
                <c:pt idx="64">
                  <c:v>120728.21999999999</c:v>
                </c:pt>
                <c:pt idx="65">
                  <c:v>129129.25999999998</c:v>
                </c:pt>
                <c:pt idx="66">
                  <c:v>130918.92999999998</c:v>
                </c:pt>
                <c:pt idx="67">
                  <c:v>132229.26999999999</c:v>
                </c:pt>
                <c:pt idx="68">
                  <c:v>132662.31</c:v>
                </c:pt>
                <c:pt idx="69">
                  <c:v>134043.48000000001</c:v>
                </c:pt>
                <c:pt idx="70">
                  <c:v>134979.67000000001</c:v>
                </c:pt>
                <c:pt idx="71">
                  <c:v>135553.59000000003</c:v>
                </c:pt>
                <c:pt idx="72">
                  <c:v>136611.52000000002</c:v>
                </c:pt>
                <c:pt idx="73">
                  <c:v>136611.52000000002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0-447D-8E2D-F139E6E7B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542359"/>
        <c:axId val="1209603584"/>
      </c:areaChart>
      <c:lineChart>
        <c:grouping val="standard"/>
        <c:varyColors val="0"/>
        <c:ser>
          <c:idx val="1"/>
          <c:order val="1"/>
          <c:tx>
            <c:v>Utenti</c:v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Grafici!$B$4:$BW$4</c:f>
              <c:numCache>
                <c:formatCode>[$-410]d\-mmm</c:formatCode>
                <c:ptCount val="74"/>
                <c:pt idx="0">
                  <c:v>44439</c:v>
                </c:pt>
                <c:pt idx="1">
                  <c:v>44440</c:v>
                </c:pt>
                <c:pt idx="2">
                  <c:v>44441</c:v>
                </c:pt>
                <c:pt idx="3">
                  <c:v>44442</c:v>
                </c:pt>
                <c:pt idx="4">
                  <c:v>44443</c:v>
                </c:pt>
                <c:pt idx="5">
                  <c:v>44444</c:v>
                </c:pt>
                <c:pt idx="6">
                  <c:v>44445</c:v>
                </c:pt>
                <c:pt idx="7">
                  <c:v>44446</c:v>
                </c:pt>
                <c:pt idx="8">
                  <c:v>44447</c:v>
                </c:pt>
                <c:pt idx="9">
                  <c:v>44448</c:v>
                </c:pt>
                <c:pt idx="10">
                  <c:v>44449</c:v>
                </c:pt>
                <c:pt idx="11">
                  <c:v>44450</c:v>
                </c:pt>
                <c:pt idx="12">
                  <c:v>44451</c:v>
                </c:pt>
                <c:pt idx="13">
                  <c:v>44452</c:v>
                </c:pt>
                <c:pt idx="14">
                  <c:v>44453</c:v>
                </c:pt>
                <c:pt idx="15">
                  <c:v>44454</c:v>
                </c:pt>
                <c:pt idx="16">
                  <c:v>44455</c:v>
                </c:pt>
                <c:pt idx="17">
                  <c:v>44456</c:v>
                </c:pt>
                <c:pt idx="18">
                  <c:v>44457</c:v>
                </c:pt>
                <c:pt idx="19">
                  <c:v>44458</c:v>
                </c:pt>
                <c:pt idx="20">
                  <c:v>44459</c:v>
                </c:pt>
                <c:pt idx="21">
                  <c:v>44460</c:v>
                </c:pt>
                <c:pt idx="22">
                  <c:v>44461</c:v>
                </c:pt>
                <c:pt idx="23">
                  <c:v>44462</c:v>
                </c:pt>
                <c:pt idx="24">
                  <c:v>44463</c:v>
                </c:pt>
                <c:pt idx="25">
                  <c:v>44464</c:v>
                </c:pt>
                <c:pt idx="26">
                  <c:v>44465</c:v>
                </c:pt>
                <c:pt idx="27">
                  <c:v>44466</c:v>
                </c:pt>
                <c:pt idx="28">
                  <c:v>44467</c:v>
                </c:pt>
                <c:pt idx="29">
                  <c:v>44468</c:v>
                </c:pt>
                <c:pt idx="30">
                  <c:v>44469</c:v>
                </c:pt>
                <c:pt idx="31">
                  <c:v>44470</c:v>
                </c:pt>
                <c:pt idx="32">
                  <c:v>44471</c:v>
                </c:pt>
                <c:pt idx="33">
                  <c:v>44472</c:v>
                </c:pt>
                <c:pt idx="34">
                  <c:v>44473</c:v>
                </c:pt>
                <c:pt idx="35">
                  <c:v>44474</c:v>
                </c:pt>
                <c:pt idx="36">
                  <c:v>44475</c:v>
                </c:pt>
                <c:pt idx="37">
                  <c:v>44476</c:v>
                </c:pt>
                <c:pt idx="38">
                  <c:v>44477</c:v>
                </c:pt>
                <c:pt idx="39">
                  <c:v>44478</c:v>
                </c:pt>
                <c:pt idx="40">
                  <c:v>44479</c:v>
                </c:pt>
                <c:pt idx="41">
                  <c:v>44480</c:v>
                </c:pt>
                <c:pt idx="42">
                  <c:v>44481</c:v>
                </c:pt>
                <c:pt idx="43">
                  <c:v>44482</c:v>
                </c:pt>
                <c:pt idx="44">
                  <c:v>44483</c:v>
                </c:pt>
                <c:pt idx="45">
                  <c:v>44484</c:v>
                </c:pt>
                <c:pt idx="46">
                  <c:v>44485</c:v>
                </c:pt>
                <c:pt idx="47">
                  <c:v>44486</c:v>
                </c:pt>
                <c:pt idx="48">
                  <c:v>44487</c:v>
                </c:pt>
                <c:pt idx="49">
                  <c:v>44488</c:v>
                </c:pt>
                <c:pt idx="50">
                  <c:v>44489</c:v>
                </c:pt>
                <c:pt idx="51">
                  <c:v>44490</c:v>
                </c:pt>
                <c:pt idx="52">
                  <c:v>44491</c:v>
                </c:pt>
                <c:pt idx="53">
                  <c:v>44492</c:v>
                </c:pt>
                <c:pt idx="54">
                  <c:v>44493</c:v>
                </c:pt>
                <c:pt idx="55">
                  <c:v>44494</c:v>
                </c:pt>
                <c:pt idx="56">
                  <c:v>44495</c:v>
                </c:pt>
                <c:pt idx="57">
                  <c:v>44496</c:v>
                </c:pt>
                <c:pt idx="58">
                  <c:v>44497</c:v>
                </c:pt>
                <c:pt idx="59">
                  <c:v>44498</c:v>
                </c:pt>
                <c:pt idx="60">
                  <c:v>44499</c:v>
                </c:pt>
                <c:pt idx="61">
                  <c:v>44500</c:v>
                </c:pt>
                <c:pt idx="62">
                  <c:v>44501</c:v>
                </c:pt>
                <c:pt idx="63">
                  <c:v>44502</c:v>
                </c:pt>
                <c:pt idx="64">
                  <c:v>44503</c:v>
                </c:pt>
                <c:pt idx="65">
                  <c:v>44522</c:v>
                </c:pt>
                <c:pt idx="66">
                  <c:v>44523</c:v>
                </c:pt>
                <c:pt idx="67">
                  <c:v>44524</c:v>
                </c:pt>
                <c:pt idx="68">
                  <c:v>44525</c:v>
                </c:pt>
                <c:pt idx="69">
                  <c:v>44526</c:v>
                </c:pt>
                <c:pt idx="70">
                  <c:v>44527</c:v>
                </c:pt>
                <c:pt idx="71">
                  <c:v>44528</c:v>
                </c:pt>
                <c:pt idx="72">
                  <c:v>44529</c:v>
                </c:pt>
                <c:pt idx="73">
                  <c:v>44531</c:v>
                </c:pt>
              </c:numCache>
            </c:numRef>
          </c:cat>
          <c:val>
            <c:numRef>
              <c:f>Grafici!$B$6:$BW$6</c:f>
              <c:numCache>
                <c:formatCode>_(* #,##0_);_(* \(#,##0\);_(* "-"??_);_(@_)</c:formatCode>
                <c:ptCount val="74"/>
                <c:pt idx="0">
                  <c:v>179</c:v>
                </c:pt>
                <c:pt idx="1">
                  <c:v>209</c:v>
                </c:pt>
                <c:pt idx="2">
                  <c:v>249</c:v>
                </c:pt>
                <c:pt idx="3">
                  <c:v>368</c:v>
                </c:pt>
                <c:pt idx="4">
                  <c:v>488</c:v>
                </c:pt>
                <c:pt idx="5">
                  <c:v>597</c:v>
                </c:pt>
                <c:pt idx="6">
                  <c:v>671</c:v>
                </c:pt>
                <c:pt idx="7">
                  <c:v>738</c:v>
                </c:pt>
                <c:pt idx="8">
                  <c:v>788</c:v>
                </c:pt>
                <c:pt idx="9">
                  <c:v>835</c:v>
                </c:pt>
                <c:pt idx="10">
                  <c:v>862</c:v>
                </c:pt>
                <c:pt idx="11">
                  <c:v>890</c:v>
                </c:pt>
                <c:pt idx="12">
                  <c:v>902</c:v>
                </c:pt>
                <c:pt idx="13">
                  <c:v>918</c:v>
                </c:pt>
                <c:pt idx="14">
                  <c:v>962</c:v>
                </c:pt>
                <c:pt idx="15">
                  <c:v>1000</c:v>
                </c:pt>
                <c:pt idx="16">
                  <c:v>1027</c:v>
                </c:pt>
                <c:pt idx="17">
                  <c:v>1053</c:v>
                </c:pt>
                <c:pt idx="18">
                  <c:v>1098</c:v>
                </c:pt>
                <c:pt idx="19">
                  <c:v>1145</c:v>
                </c:pt>
                <c:pt idx="20">
                  <c:v>1190</c:v>
                </c:pt>
                <c:pt idx="21">
                  <c:v>1254</c:v>
                </c:pt>
                <c:pt idx="22">
                  <c:v>1298</c:v>
                </c:pt>
                <c:pt idx="23">
                  <c:v>1344</c:v>
                </c:pt>
                <c:pt idx="24">
                  <c:v>1370</c:v>
                </c:pt>
                <c:pt idx="25">
                  <c:v>1388</c:v>
                </c:pt>
                <c:pt idx="26">
                  <c:v>1412</c:v>
                </c:pt>
                <c:pt idx="27">
                  <c:v>1433</c:v>
                </c:pt>
                <c:pt idx="28">
                  <c:v>1475</c:v>
                </c:pt>
                <c:pt idx="29">
                  <c:v>1520</c:v>
                </c:pt>
                <c:pt idx="30">
                  <c:v>1650</c:v>
                </c:pt>
                <c:pt idx="31">
                  <c:v>1735</c:v>
                </c:pt>
                <c:pt idx="32">
                  <c:v>1779</c:v>
                </c:pt>
                <c:pt idx="33">
                  <c:v>1821</c:v>
                </c:pt>
                <c:pt idx="34">
                  <c:v>1861</c:v>
                </c:pt>
                <c:pt idx="35">
                  <c:v>1905</c:v>
                </c:pt>
                <c:pt idx="36">
                  <c:v>1942</c:v>
                </c:pt>
                <c:pt idx="37">
                  <c:v>1984</c:v>
                </c:pt>
                <c:pt idx="38">
                  <c:v>2047</c:v>
                </c:pt>
                <c:pt idx="39">
                  <c:v>2108</c:v>
                </c:pt>
                <c:pt idx="40">
                  <c:v>2160</c:v>
                </c:pt>
                <c:pt idx="41">
                  <c:v>2209</c:v>
                </c:pt>
                <c:pt idx="42">
                  <c:v>2269</c:v>
                </c:pt>
                <c:pt idx="43">
                  <c:v>2320</c:v>
                </c:pt>
                <c:pt idx="44">
                  <c:v>2355</c:v>
                </c:pt>
                <c:pt idx="45">
                  <c:v>2381</c:v>
                </c:pt>
                <c:pt idx="46">
                  <c:v>2413</c:v>
                </c:pt>
                <c:pt idx="47">
                  <c:v>2435</c:v>
                </c:pt>
                <c:pt idx="48">
                  <c:v>2464</c:v>
                </c:pt>
                <c:pt idx="49">
                  <c:v>2492</c:v>
                </c:pt>
                <c:pt idx="50">
                  <c:v>2515</c:v>
                </c:pt>
                <c:pt idx="51">
                  <c:v>2554</c:v>
                </c:pt>
                <c:pt idx="52">
                  <c:v>2579</c:v>
                </c:pt>
                <c:pt idx="53">
                  <c:v>2601</c:v>
                </c:pt>
                <c:pt idx="54">
                  <c:v>2625</c:v>
                </c:pt>
                <c:pt idx="55">
                  <c:v>2652</c:v>
                </c:pt>
                <c:pt idx="56">
                  <c:v>2670</c:v>
                </c:pt>
                <c:pt idx="57">
                  <c:v>2682</c:v>
                </c:pt>
                <c:pt idx="58">
                  <c:v>2703</c:v>
                </c:pt>
                <c:pt idx="59">
                  <c:v>2720</c:v>
                </c:pt>
                <c:pt idx="60">
                  <c:v>2737</c:v>
                </c:pt>
                <c:pt idx="61">
                  <c:v>2784</c:v>
                </c:pt>
                <c:pt idx="62">
                  <c:v>2828</c:v>
                </c:pt>
                <c:pt idx="63">
                  <c:v>2858</c:v>
                </c:pt>
                <c:pt idx="64">
                  <c:v>2877</c:v>
                </c:pt>
                <c:pt idx="65">
                  <c:v>2883</c:v>
                </c:pt>
                <c:pt idx="66">
                  <c:v>2884</c:v>
                </c:pt>
                <c:pt idx="67">
                  <c:v>2889</c:v>
                </c:pt>
                <c:pt idx="68">
                  <c:v>2893</c:v>
                </c:pt>
                <c:pt idx="69">
                  <c:v>2895</c:v>
                </c:pt>
                <c:pt idx="70">
                  <c:v>2901</c:v>
                </c:pt>
                <c:pt idx="71">
                  <c:v>2903</c:v>
                </c:pt>
                <c:pt idx="72">
                  <c:v>2903</c:v>
                </c:pt>
                <c:pt idx="73">
                  <c:v>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0-447D-8E2D-F139E6E7B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542359"/>
        <c:axId val="1209603584"/>
      </c:lineChart>
      <c:dateAx>
        <c:axId val="2110542359"/>
        <c:scaling>
          <c:orientation val="minMax"/>
          <c:max val="44531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[$-410]d\-mmm;@" sourceLinked="0"/>
        <c:majorTickMark val="out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209603584"/>
        <c:crosses val="autoZero"/>
        <c:auto val="1"/>
        <c:lblOffset val="100"/>
        <c:baseTimeUnit val="days"/>
      </c:dateAx>
      <c:valAx>
        <c:axId val="1209603584"/>
        <c:scaling>
          <c:orientation val="minMax"/>
          <c:max val="14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\ &quot;€&quot;_-;\-* #,##0\ &quot;€&quot;_-;_-* &quot;-&quot;??\ &quot;€&quot;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211054235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Totale Ricavi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numFmt formatCode="_(&quot;€&quot;* #,##0_);_(&quot;€&quot;* \(#,##0\);_(&quot;€&quot;* &quot;-&quot;_);_(@_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Grafici!$B$30:$E$30</c:f>
              <c:numCache>
                <c:formatCode>0"E"</c:formatCode>
                <c:ptCount val="4"/>
                <c:pt idx="0" formatCode="General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Grafici!$B$31:$E$31</c:f>
              <c:numCache>
                <c:formatCode>_-* #,##0.00\ "€"_-;\-* #,##0.00\ "€"_-;_-* "-"??\ "€"_-;_-@</c:formatCode>
                <c:ptCount val="4"/>
                <c:pt idx="0">
                  <c:v>111977</c:v>
                </c:pt>
                <c:pt idx="1">
                  <c:v>792056.83482173504</c:v>
                </c:pt>
                <c:pt idx="2">
                  <c:v>1364798.6693457896</c:v>
                </c:pt>
                <c:pt idx="3">
                  <c:v>1934191.6149561489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C42-4F1B-822C-58337DD0CBCA}"/>
            </c:ext>
          </c:extLst>
        </c:ser>
        <c:ser>
          <c:idx val="1"/>
          <c:order val="1"/>
          <c:tx>
            <c:v>EBITDA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numFmt formatCode="_(&quot;€&quot;* #,##0_);_(&quot;€&quot;* \(#,##0\);_(&quot;€&quot;* &quot;-&quot;_);_(@_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Grafici!$B$30:$E$30</c:f>
              <c:numCache>
                <c:formatCode>0"E"</c:formatCode>
                <c:ptCount val="4"/>
                <c:pt idx="0" formatCode="General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Grafici!$B$32:$E$32</c:f>
              <c:numCache>
                <c:formatCode>_-* #,##0.00\ "€"_-;\-* #,##0.00\ "€"_-;_-* "-"??\ "€"_-;_-@</c:formatCode>
                <c:ptCount val="4"/>
                <c:pt idx="0">
                  <c:v>23735</c:v>
                </c:pt>
                <c:pt idx="1">
                  <c:v>441056.83482173504</c:v>
                </c:pt>
                <c:pt idx="2">
                  <c:v>799598.66934578959</c:v>
                </c:pt>
                <c:pt idx="3">
                  <c:v>1228891.6149561489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C42-4F1B-822C-58337DD0C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43119"/>
        <c:axId val="772319416"/>
      </c:barChart>
      <c:catAx>
        <c:axId val="871431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772319416"/>
        <c:crosses val="autoZero"/>
        <c:auto val="1"/>
        <c:lblAlgn val="ctr"/>
        <c:lblOffset val="100"/>
        <c:noMultiLvlLbl val="1"/>
      </c:catAx>
      <c:valAx>
        <c:axId val="772319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\ &quot;€&quot;_-;\-* #,##0.00\ &quot;€&quot;_-;_-* &quot;-&quot;??\ &quot;€&quot;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8714311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v>Operating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Grafici!$B$37:$E$37</c:f>
              <c:numCache>
                <c:formatCode>0"E"</c:formatCode>
                <c:ptCount val="4"/>
                <c:pt idx="0" formatCode="General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Grafici!$B$38:$E$38</c:f>
              <c:numCache>
                <c:formatCode>_-* #,##0.00\ "€"_-;\-* #,##0.00\ "€"_-;_-* "-"??\ "€"_-;_-@</c:formatCode>
                <c:ptCount val="4"/>
                <c:pt idx="0">
                  <c:v>53623</c:v>
                </c:pt>
                <c:pt idx="1">
                  <c:v>259270.97917611405</c:v>
                </c:pt>
                <c:pt idx="2">
                  <c:v>531309.80698885722</c:v>
                </c:pt>
                <c:pt idx="3">
                  <c:v>839079.86621049105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F29-40F8-BB67-4664A3FA24B3}"/>
            </c:ext>
          </c:extLst>
        </c:ser>
        <c:ser>
          <c:idx val="1"/>
          <c:order val="1"/>
          <c:tx>
            <c:v>Investing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Grafici!$B$37:$E$37</c:f>
              <c:numCache>
                <c:formatCode>0"E"</c:formatCode>
                <c:ptCount val="4"/>
                <c:pt idx="0" formatCode="General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Grafici!$B$39:$E$39</c:f>
              <c:numCache>
                <c:formatCode>_-* #,##0.00\ "€"_-;\-* #,##0.00\ "€"_-;_-* "-"??\ "€"_-;_-@</c:formatCode>
                <c:ptCount val="4"/>
                <c:pt idx="0">
                  <c:v>-19700</c:v>
                </c:pt>
                <c:pt idx="1">
                  <c:v>-56900</c:v>
                </c:pt>
                <c:pt idx="2">
                  <c:v>-72400</c:v>
                </c:pt>
                <c:pt idx="3">
                  <c:v>-82900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F29-40F8-BB67-4664A3FA24B3}"/>
            </c:ext>
          </c:extLst>
        </c:ser>
        <c:ser>
          <c:idx val="2"/>
          <c:order val="2"/>
          <c:tx>
            <c:v>Financing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Grafici!$B$37:$E$37</c:f>
              <c:numCache>
                <c:formatCode>0"E"</c:formatCode>
                <c:ptCount val="4"/>
                <c:pt idx="0" formatCode="General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Grafici!$B$40:$E$40</c:f>
              <c:numCache>
                <c:formatCode>_-* #,##0.00\ "€"_-;\-* #,##0.00\ "€"_-;_-* "-"??\ "€"_-;_-@</c:formatCode>
                <c:ptCount val="4"/>
                <c:pt idx="0">
                  <c:v>63647</c:v>
                </c:pt>
                <c:pt idx="1">
                  <c:v>375000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F29-40F8-BB67-4664A3FA2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1147269"/>
        <c:axId val="1706765688"/>
      </c:barChart>
      <c:catAx>
        <c:axId val="20511472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706765688"/>
        <c:crosses val="autoZero"/>
        <c:auto val="1"/>
        <c:lblAlgn val="ctr"/>
        <c:lblOffset val="100"/>
        <c:noMultiLvlLbl val="1"/>
      </c:catAx>
      <c:valAx>
        <c:axId val="17067656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\ &quot;€&quot;_-;\-* #,##0.00\ &quot;€&quot;_-;_-* &quot;-&quot;??\ &quot;€&quot;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205114726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3</xdr:row>
      <xdr:rowOff>19050</xdr:rowOff>
    </xdr:from>
    <xdr:ext cx="5124450" cy="1143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95250</xdr:rowOff>
    </xdr:from>
    <xdr:ext cx="1619250" cy="381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104775</xdr:rowOff>
    </xdr:from>
    <xdr:ext cx="1562100" cy="352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95250</xdr:colOff>
      <xdr:row>0</xdr:row>
      <xdr:rowOff>104775</xdr:rowOff>
    </xdr:from>
    <xdr:ext cx="1619250" cy="3810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7</xdr:row>
      <xdr:rowOff>142875</xdr:rowOff>
    </xdr:from>
    <xdr:ext cx="11277600" cy="3943350"/>
    <xdr:graphicFrame macro="">
      <xdr:nvGraphicFramePr>
        <xdr:cNvPr id="1931892985" name="Chart 1">
          <a:extLst>
            <a:ext uri="{FF2B5EF4-FFF2-40B4-BE49-F238E27FC236}">
              <a16:creationId xmlns:a16="http://schemas.microsoft.com/office/drawing/2014/main" id="{00000000-0008-0000-0300-0000F95826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238125</xdr:colOff>
      <xdr:row>28</xdr:row>
      <xdr:rowOff>9525</xdr:rowOff>
    </xdr:from>
    <xdr:ext cx="6819900" cy="2533650"/>
    <xdr:graphicFrame macro="">
      <xdr:nvGraphicFramePr>
        <xdr:cNvPr id="1464127273" name="Chart 2">
          <a:extLst>
            <a:ext uri="{FF2B5EF4-FFF2-40B4-BE49-F238E27FC236}">
              <a16:creationId xmlns:a16="http://schemas.microsoft.com/office/drawing/2014/main" id="{00000000-0008-0000-0300-000029CF44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5</xdr:col>
      <xdr:colOff>581025</xdr:colOff>
      <xdr:row>41</xdr:row>
      <xdr:rowOff>47625</xdr:rowOff>
    </xdr:from>
    <xdr:ext cx="6467475" cy="2752725"/>
    <xdr:graphicFrame macro="">
      <xdr:nvGraphicFramePr>
        <xdr:cNvPr id="943336974" name="Chart 3">
          <a:extLst>
            <a:ext uri="{FF2B5EF4-FFF2-40B4-BE49-F238E27FC236}">
              <a16:creationId xmlns:a16="http://schemas.microsoft.com/office/drawing/2014/main" id="{00000000-0008-0000-0300-00000E2E3A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E18" sqref="E18"/>
    </sheetView>
  </sheetViews>
  <sheetFormatPr baseColWidth="10" defaultColWidth="14.5" defaultRowHeight="15" customHeight="1"/>
  <cols>
    <col min="1" max="26" width="9.164062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" customHeight="1">
      <c r="A12" s="1"/>
      <c r="B12" s="2" t="s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B1000"/>
  <sheetViews>
    <sheetView showGridLines="0" workbookViewId="0">
      <selection activeCell="H120" sqref="A1:H120"/>
    </sheetView>
  </sheetViews>
  <sheetFormatPr baseColWidth="10" defaultColWidth="14.5" defaultRowHeight="15" customHeight="1" outlineLevelRow="1"/>
  <cols>
    <col min="1" max="1" width="17.83203125" customWidth="1"/>
    <col min="2" max="3" width="9.5" customWidth="1"/>
    <col min="4" max="4" width="10.5" customWidth="1"/>
    <col min="5" max="5" width="12.5" customWidth="1"/>
    <col min="6" max="6" width="15.33203125" customWidth="1"/>
    <col min="7" max="7" width="15" customWidth="1"/>
    <col min="8" max="8" width="14" customWidth="1"/>
    <col min="9" max="9" width="19" customWidth="1"/>
    <col min="10" max="28" width="9.1640625" customWidth="1"/>
  </cols>
  <sheetData>
    <row r="1" spans="1:28" ht="16.5" customHeight="1">
      <c r="A1" s="3"/>
      <c r="B1" s="3"/>
      <c r="C1" s="3"/>
      <c r="D1" s="3"/>
      <c r="E1" s="4" t="s">
        <v>1</v>
      </c>
      <c r="F1" s="3"/>
      <c r="G1" s="3"/>
      <c r="H1" s="3" t="s">
        <v>2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6.5" customHeight="1">
      <c r="A2" s="6"/>
      <c r="B2" s="6"/>
      <c r="C2" s="6"/>
      <c r="D2" s="7"/>
      <c r="E2" s="8">
        <v>2021</v>
      </c>
      <c r="F2" s="9">
        <v>2022</v>
      </c>
      <c r="G2" s="9">
        <f t="shared" ref="G2:H2" si="0">+F2+1</f>
        <v>2023</v>
      </c>
      <c r="H2" s="9">
        <f t="shared" si="0"/>
        <v>2024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6.5" hidden="1" customHeight="1">
      <c r="A3" s="10" t="s">
        <v>3</v>
      </c>
      <c r="B3" s="10"/>
      <c r="C3" s="11"/>
      <c r="D3" s="12"/>
      <c r="E3" s="13" t="str">
        <f t="shared" ref="E3:H3" si="1">IFERROR(IF(ABS(E146)&gt;1,"ERROR","OK"),"OK")</f>
        <v>OK</v>
      </c>
      <c r="F3" s="13" t="str">
        <f t="shared" si="1"/>
        <v>OK</v>
      </c>
      <c r="G3" s="13" t="str">
        <f t="shared" si="1"/>
        <v>OK</v>
      </c>
      <c r="H3" s="13" t="str">
        <f t="shared" si="1"/>
        <v>OK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6.5" hidden="1" customHeight="1">
      <c r="A4" s="5"/>
      <c r="B4" s="5"/>
      <c r="C4" s="15"/>
      <c r="D4" s="5"/>
      <c r="E4" s="5"/>
      <c r="F4" s="5"/>
      <c r="G4" s="5"/>
      <c r="H4" s="5"/>
      <c r="I4" s="1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8.75" hidden="1" customHeight="1">
      <c r="A5" s="17" t="s">
        <v>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16.5" hidden="1" customHeight="1" outlineLevel="1">
      <c r="A6" s="19" t="s">
        <v>5</v>
      </c>
      <c r="B6" s="20"/>
      <c r="C6" s="21"/>
      <c r="D6" s="20"/>
      <c r="E6" s="20"/>
      <c r="F6" s="20"/>
      <c r="G6" s="20"/>
      <c r="H6" s="2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6.5" hidden="1" customHeight="1" outlineLevel="1">
      <c r="A7" s="22" t="s">
        <v>6</v>
      </c>
      <c r="B7" s="22"/>
      <c r="C7" s="23"/>
      <c r="D7" s="22"/>
      <c r="E7" s="24">
        <v>14557</v>
      </c>
      <c r="F7" s="25">
        <v>100000</v>
      </c>
      <c r="G7" s="25">
        <v>130000</v>
      </c>
      <c r="H7" s="25">
        <v>160000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6.5" hidden="1" customHeight="1" outlineLevel="1">
      <c r="A8" s="22" t="s">
        <v>7</v>
      </c>
      <c r="B8" s="22"/>
      <c r="C8" s="23"/>
      <c r="D8" s="22"/>
      <c r="E8" s="5">
        <f>E7/E14</f>
        <v>5.0144677919393734</v>
      </c>
      <c r="F8" s="5">
        <f t="shared" ref="F8:H8" si="2">E8</f>
        <v>5.0144677919393734</v>
      </c>
      <c r="G8" s="5">
        <f t="shared" si="2"/>
        <v>5.0144677919393734</v>
      </c>
      <c r="H8" s="5">
        <f t="shared" si="2"/>
        <v>5.0144677919393734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6.5" hidden="1" customHeight="1" outlineLevel="1">
      <c r="A9" s="22"/>
      <c r="B9" s="22"/>
      <c r="C9" s="2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16.5" hidden="1" customHeight="1" outlineLevel="1">
      <c r="A10" s="19" t="s">
        <v>8</v>
      </c>
      <c r="B10" s="20"/>
      <c r="C10" s="21"/>
      <c r="D10" s="20"/>
      <c r="E10" s="20"/>
      <c r="F10" s="20"/>
      <c r="G10" s="20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6.5" hidden="1" customHeight="1" outlineLevel="1">
      <c r="A11" s="5" t="s">
        <v>9</v>
      </c>
      <c r="B11" s="5"/>
      <c r="C11" s="15"/>
      <c r="D11" s="5"/>
      <c r="E11" s="26">
        <v>0</v>
      </c>
      <c r="F11" s="26">
        <v>0.2</v>
      </c>
      <c r="G11" s="26">
        <v>0.2</v>
      </c>
      <c r="H11" s="26">
        <v>0.2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6.5" hidden="1" customHeight="1" outlineLevel="1">
      <c r="A12" s="5" t="s">
        <v>10</v>
      </c>
      <c r="B12" s="5"/>
      <c r="C12" s="15"/>
      <c r="D12" s="5"/>
      <c r="E12" s="25">
        <v>0</v>
      </c>
      <c r="F12" s="5">
        <f t="shared" ref="F12:H12" si="3">+E16</f>
        <v>2903</v>
      </c>
      <c r="G12" s="5">
        <f t="shared" si="3"/>
        <v>18276.236642165281</v>
      </c>
      <c r="H12" s="5">
        <f t="shared" si="3"/>
        <v>35360.97694854709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6.5" hidden="1" customHeight="1" outlineLevel="1">
      <c r="A13" s="5" t="s">
        <v>11</v>
      </c>
      <c r="B13" s="5"/>
      <c r="C13" s="15"/>
      <c r="D13" s="5"/>
      <c r="E13" s="24">
        <v>2903</v>
      </c>
      <c r="F13" s="5">
        <f t="shared" ref="F13:H13" si="4">F7/F8</f>
        <v>19942.295802706602</v>
      </c>
      <c r="G13" s="5">
        <f t="shared" si="4"/>
        <v>25924.984543518582</v>
      </c>
      <c r="H13" s="5">
        <f t="shared" si="4"/>
        <v>31907.673284330562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6.5" hidden="1" customHeight="1" outlineLevel="1">
      <c r="A14" s="27" t="s">
        <v>12</v>
      </c>
      <c r="B14" s="27"/>
      <c r="C14" s="28"/>
      <c r="D14" s="27"/>
      <c r="E14" s="27">
        <f t="shared" ref="E14:H14" si="5">SUM(E12:E13)</f>
        <v>2903</v>
      </c>
      <c r="F14" s="27">
        <f t="shared" si="5"/>
        <v>22845.295802706602</v>
      </c>
      <c r="G14" s="27">
        <f t="shared" si="5"/>
        <v>44201.221185683862</v>
      </c>
      <c r="H14" s="27">
        <f t="shared" si="5"/>
        <v>67268.650232877655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6.5" hidden="1" customHeight="1" outlineLevel="1">
      <c r="A15" s="29" t="s">
        <v>13</v>
      </c>
      <c r="B15" s="5"/>
      <c r="C15" s="15"/>
      <c r="D15" s="5"/>
      <c r="E15" s="5">
        <f t="shared" ref="E15:H15" si="6">+E14*E11</f>
        <v>0</v>
      </c>
      <c r="F15" s="5">
        <f t="shared" si="6"/>
        <v>4569.0591605413201</v>
      </c>
      <c r="G15" s="5">
        <f t="shared" si="6"/>
        <v>8840.2442371367724</v>
      </c>
      <c r="H15" s="5">
        <f t="shared" si="6"/>
        <v>13453.730046575532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6.5" hidden="1" customHeight="1" outlineLevel="1">
      <c r="A16" s="30" t="s">
        <v>14</v>
      </c>
      <c r="B16" s="30"/>
      <c r="C16" s="31"/>
      <c r="D16" s="30"/>
      <c r="E16" s="30">
        <f t="shared" ref="E16:H16" si="7">+E14-E15</f>
        <v>2903</v>
      </c>
      <c r="F16" s="30">
        <f t="shared" si="7"/>
        <v>18276.236642165281</v>
      </c>
      <c r="G16" s="30">
        <f t="shared" si="7"/>
        <v>35360.97694854709</v>
      </c>
      <c r="H16" s="30">
        <f t="shared" si="7"/>
        <v>53814.920186302123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6.5" hidden="1" customHeight="1" outlineLevel="1">
      <c r="A17" s="5"/>
      <c r="B17" s="5"/>
      <c r="C17" s="15"/>
      <c r="D17" s="5"/>
      <c r="E17" s="5"/>
      <c r="F17" s="5"/>
      <c r="G17" s="5"/>
      <c r="H17" s="5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6.5" hidden="1" customHeight="1" outlineLevel="1">
      <c r="A18" s="19" t="s">
        <v>15</v>
      </c>
      <c r="B18" s="20"/>
      <c r="C18" s="21"/>
      <c r="D18" s="20"/>
      <c r="E18" s="20"/>
      <c r="F18" s="20"/>
      <c r="G18" s="20"/>
      <c r="H18" s="2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6.5" hidden="1" customHeight="1" outlineLevel="1">
      <c r="A19" s="22" t="s">
        <v>16</v>
      </c>
      <c r="B19" s="22"/>
      <c r="C19" s="23"/>
      <c r="D19" s="22"/>
      <c r="E19" s="32">
        <v>37.022735101619006</v>
      </c>
      <c r="F19" s="33">
        <f t="shared" ref="F19:H19" si="8">$E$19</f>
        <v>37.022735101619006</v>
      </c>
      <c r="G19" s="33">
        <f t="shared" si="8"/>
        <v>37.022735101619006</v>
      </c>
      <c r="H19" s="33">
        <f t="shared" si="8"/>
        <v>37.022735101619006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6.5" hidden="1" customHeight="1" outlineLevel="1">
      <c r="A20" s="22"/>
      <c r="B20" s="22"/>
      <c r="C20" s="2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6.5" hidden="1" customHeight="1" outlineLevel="1">
      <c r="A21" s="22" t="s">
        <v>17</v>
      </c>
      <c r="B21" s="22"/>
      <c r="C21" s="23"/>
      <c r="D21" s="22"/>
      <c r="E21" s="5">
        <f>E16</f>
        <v>2903</v>
      </c>
      <c r="F21" s="5">
        <f t="shared" ref="F21:H21" si="9">F13</f>
        <v>19942.295802706602</v>
      </c>
      <c r="G21" s="5">
        <f t="shared" si="9"/>
        <v>25924.984543518582</v>
      </c>
      <c r="H21" s="5">
        <f t="shared" si="9"/>
        <v>31907.673284330562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6.5" hidden="1" customHeight="1" outlineLevel="1">
      <c r="A22" s="22" t="s">
        <v>18</v>
      </c>
      <c r="B22" s="22"/>
      <c r="C22" s="23"/>
      <c r="D22" s="22"/>
      <c r="E22" s="34"/>
      <c r="F22" s="5">
        <f>E16</f>
        <v>2903</v>
      </c>
      <c r="G22" s="5">
        <f>$F$21</f>
        <v>19942.295802706602</v>
      </c>
      <c r="H22" s="5">
        <f>$G$21</f>
        <v>25924.984543518582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6.5" hidden="1" customHeight="1" outlineLevel="1">
      <c r="A23" s="22" t="s">
        <v>19</v>
      </c>
      <c r="B23" s="22"/>
      <c r="C23" s="23"/>
      <c r="D23" s="22"/>
      <c r="E23" s="34"/>
      <c r="F23" s="34"/>
      <c r="G23" s="5">
        <f>F22</f>
        <v>2903</v>
      </c>
      <c r="H23" s="5">
        <f>$F$21</f>
        <v>19942.295802706602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6.5" hidden="1" customHeight="1" outlineLevel="1">
      <c r="A24" s="22" t="s">
        <v>20</v>
      </c>
      <c r="B24" s="22"/>
      <c r="C24" s="23"/>
      <c r="D24" s="22"/>
      <c r="E24" s="34"/>
      <c r="F24" s="34"/>
      <c r="G24" s="34"/>
      <c r="H24" s="5">
        <f>G23</f>
        <v>2903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6.5" hidden="1" customHeight="1" outlineLevel="1">
      <c r="A25" s="22" t="s">
        <v>21</v>
      </c>
      <c r="B25" s="22"/>
      <c r="C25" s="23"/>
      <c r="D25" s="22"/>
      <c r="E25" s="34"/>
      <c r="F25" s="34"/>
      <c r="G25" s="34"/>
      <c r="H25" s="34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6.5" hidden="1" customHeight="1" outlineLevel="1">
      <c r="A26" s="22"/>
      <c r="B26" s="22"/>
      <c r="C26" s="23"/>
      <c r="D26" s="22"/>
      <c r="E26" s="22"/>
      <c r="F26" s="22"/>
      <c r="G26" s="35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6.5" hidden="1" customHeight="1" outlineLevel="1">
      <c r="A27" s="22" t="s">
        <v>22</v>
      </c>
      <c r="B27" s="22"/>
      <c r="C27" s="23"/>
      <c r="D27" s="22"/>
      <c r="E27" s="26">
        <v>1</v>
      </c>
      <c r="F27" s="26">
        <v>1</v>
      </c>
      <c r="G27" s="26">
        <v>1</v>
      </c>
      <c r="H27" s="26">
        <v>1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6.5" hidden="1" customHeight="1" outlineLevel="1">
      <c r="A28" s="22" t="s">
        <v>23</v>
      </c>
      <c r="B28" s="22"/>
      <c r="C28" s="23"/>
      <c r="D28" s="22"/>
      <c r="E28" s="34"/>
      <c r="F28" s="26">
        <f t="shared" ref="F28:H28" si="10">F27/2</f>
        <v>0.5</v>
      </c>
      <c r="G28" s="35">
        <f t="shared" si="10"/>
        <v>0.5</v>
      </c>
      <c r="H28" s="35">
        <f t="shared" si="10"/>
        <v>0.5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6.5" hidden="1" customHeight="1" outlineLevel="1">
      <c r="A29" s="22" t="s">
        <v>24</v>
      </c>
      <c r="B29" s="22"/>
      <c r="C29" s="23"/>
      <c r="D29" s="22"/>
      <c r="E29" s="34"/>
      <c r="F29" s="34"/>
      <c r="G29" s="26">
        <f t="shared" ref="G29:H29" si="11">G27/3</f>
        <v>0.33333333333333331</v>
      </c>
      <c r="H29" s="35">
        <f t="shared" si="11"/>
        <v>0.33333333333333331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6.5" hidden="1" customHeight="1" outlineLevel="1">
      <c r="A30" s="22" t="s">
        <v>25</v>
      </c>
      <c r="B30" s="22"/>
      <c r="C30" s="23"/>
      <c r="D30" s="22"/>
      <c r="E30" s="34"/>
      <c r="F30" s="34"/>
      <c r="G30" s="34"/>
      <c r="H30" s="26">
        <f>H27/4</f>
        <v>0.25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6.5" hidden="1" customHeight="1" outlineLevel="1">
      <c r="A31" s="22" t="s">
        <v>26</v>
      </c>
      <c r="B31" s="22"/>
      <c r="C31" s="23"/>
      <c r="D31" s="22"/>
      <c r="E31" s="34"/>
      <c r="F31" s="34"/>
      <c r="G31" s="34"/>
      <c r="H31" s="34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6.5" hidden="1" customHeight="1" outlineLevel="1">
      <c r="A32" s="22"/>
      <c r="B32" s="22"/>
      <c r="C32" s="23"/>
      <c r="D32" s="22"/>
      <c r="E32" s="22"/>
      <c r="F32" s="22"/>
      <c r="G32" s="35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6.5" hidden="1" customHeight="1" outlineLevel="1">
      <c r="A33" s="36" t="s">
        <v>27</v>
      </c>
      <c r="B33" s="36"/>
      <c r="C33" s="37"/>
      <c r="D33" s="36"/>
      <c r="E33" s="16">
        <f t="shared" ref="E33:H33" si="12">E$19*E21*E27</f>
        <v>107476.99999999997</v>
      </c>
      <c r="F33" s="16">
        <f t="shared" si="12"/>
        <v>738318.33482173504</v>
      </c>
      <c r="G33" s="16">
        <f t="shared" si="12"/>
        <v>959813.83526825556</v>
      </c>
      <c r="H33" s="16">
        <f t="shared" si="12"/>
        <v>1181309.3357147761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6.5" hidden="1" customHeight="1" outlineLevel="1">
      <c r="A34" s="38" t="s">
        <v>28</v>
      </c>
      <c r="B34" s="38"/>
      <c r="C34" s="39"/>
      <c r="D34" s="38"/>
      <c r="E34" s="27">
        <f t="shared" ref="E34:H34" si="13">E$19*E22*E28</f>
        <v>0</v>
      </c>
      <c r="F34" s="27">
        <f t="shared" si="13"/>
        <v>53738.499999999985</v>
      </c>
      <c r="G34" s="27">
        <f t="shared" si="13"/>
        <v>369159.16741086752</v>
      </c>
      <c r="H34" s="27">
        <f t="shared" si="13"/>
        <v>479906.91763412778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6.5" hidden="1" customHeight="1" outlineLevel="1">
      <c r="A35" s="22" t="s">
        <v>29</v>
      </c>
      <c r="B35" s="22"/>
      <c r="C35" s="23"/>
      <c r="D35" s="22"/>
      <c r="E35" s="5">
        <f t="shared" ref="E35:H35" si="14">E$19*E23*E29</f>
        <v>0</v>
      </c>
      <c r="F35" s="5">
        <f t="shared" si="14"/>
        <v>0</v>
      </c>
      <c r="G35" s="5">
        <f t="shared" si="14"/>
        <v>35825.666666666657</v>
      </c>
      <c r="H35" s="5">
        <f t="shared" si="14"/>
        <v>246106.11160724499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6.5" hidden="1" customHeight="1" outlineLevel="1">
      <c r="A36" s="22" t="s">
        <v>30</v>
      </c>
      <c r="B36" s="22"/>
      <c r="C36" s="23"/>
      <c r="D36" s="22"/>
      <c r="E36" s="5">
        <f t="shared" ref="E36:H36" si="15">E$19*E24*E30</f>
        <v>0</v>
      </c>
      <c r="F36" s="5">
        <f t="shared" si="15"/>
        <v>0</v>
      </c>
      <c r="G36" s="5">
        <f t="shared" si="15"/>
        <v>0</v>
      </c>
      <c r="H36" s="5">
        <f t="shared" si="15"/>
        <v>26869.249999999993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6.5" hidden="1" customHeight="1" outlineLevel="1">
      <c r="A37" s="22" t="s">
        <v>31</v>
      </c>
      <c r="B37" s="22"/>
      <c r="C37" s="23"/>
      <c r="D37" s="22"/>
      <c r="E37" s="5">
        <f t="shared" ref="E37:H37" si="16">E$19*E25*E31</f>
        <v>0</v>
      </c>
      <c r="F37" s="5">
        <f t="shared" si="16"/>
        <v>0</v>
      </c>
      <c r="G37" s="5">
        <f t="shared" si="16"/>
        <v>0</v>
      </c>
      <c r="H37" s="5">
        <f t="shared" si="16"/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6.5" hidden="1" customHeight="1" outlineLevel="1">
      <c r="A38" s="40" t="s">
        <v>32</v>
      </c>
      <c r="B38" s="38"/>
      <c r="C38" s="39"/>
      <c r="D38" s="38"/>
      <c r="E38" s="30">
        <f t="shared" ref="E38:H38" si="17">SUM(E34:E37)</f>
        <v>0</v>
      </c>
      <c r="F38" s="30">
        <f t="shared" si="17"/>
        <v>53738.499999999985</v>
      </c>
      <c r="G38" s="30">
        <f t="shared" si="17"/>
        <v>404984.83407753415</v>
      </c>
      <c r="H38" s="30">
        <f t="shared" si="17"/>
        <v>752882.27924137283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6.5" hidden="1" customHeight="1" outlineLevel="1">
      <c r="A39" s="36"/>
      <c r="B39" s="22"/>
      <c r="C39" s="23"/>
      <c r="D39" s="22"/>
      <c r="E39" s="16"/>
      <c r="F39" s="16"/>
      <c r="G39" s="16"/>
      <c r="H39" s="16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6.5" hidden="1" customHeight="1" outlineLevel="1">
      <c r="A40" s="19" t="s">
        <v>33</v>
      </c>
      <c r="B40" s="20"/>
      <c r="C40" s="21"/>
      <c r="D40" s="20"/>
      <c r="E40" s="20"/>
      <c r="F40" s="20"/>
      <c r="G40" s="20"/>
      <c r="H40" s="20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6.5" hidden="1" customHeight="1" outlineLevel="1">
      <c r="A41" s="41" t="s">
        <v>34</v>
      </c>
      <c r="C41" s="4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6.5" hidden="1" customHeight="1" outlineLevel="1">
      <c r="A42" s="43" t="s">
        <v>35</v>
      </c>
      <c r="C42" s="42"/>
      <c r="E42" s="44">
        <v>0</v>
      </c>
      <c r="F42" s="44">
        <v>2</v>
      </c>
      <c r="G42" s="44">
        <v>5</v>
      </c>
      <c r="H42" s="44">
        <v>6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6.5" hidden="1" customHeight="1" outlineLevel="1">
      <c r="A43" s="43" t="s">
        <v>36</v>
      </c>
      <c r="C43" s="42"/>
      <c r="E43" s="44">
        <v>0</v>
      </c>
      <c r="F43" s="44">
        <v>0</v>
      </c>
      <c r="G43" s="44">
        <v>1</v>
      </c>
      <c r="H43" s="44">
        <v>2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6.5" hidden="1" customHeight="1" outlineLevel="1">
      <c r="A44" s="43" t="s">
        <v>37</v>
      </c>
      <c r="C44" s="42"/>
      <c r="E44" s="44">
        <v>0</v>
      </c>
      <c r="F44" s="44">
        <v>0</v>
      </c>
      <c r="G44" s="44">
        <v>1</v>
      </c>
      <c r="H44" s="44">
        <v>1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6.5" hidden="1" customHeight="1" outlineLevel="1">
      <c r="A45" s="43" t="s">
        <v>38</v>
      </c>
      <c r="C45" s="42"/>
      <c r="E45" s="44">
        <v>0</v>
      </c>
      <c r="F45" s="44">
        <v>0</v>
      </c>
      <c r="G45" s="44">
        <v>0</v>
      </c>
      <c r="H45" s="44">
        <v>1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6.5" hidden="1" customHeight="1" outlineLevel="1">
      <c r="A46" s="45" t="s">
        <v>39</v>
      </c>
      <c r="B46" s="46"/>
      <c r="C46" s="47"/>
      <c r="D46" s="46"/>
      <c r="E46" s="46">
        <f t="shared" ref="E46:H46" si="18">SUM(E42:E45)</f>
        <v>0</v>
      </c>
      <c r="F46" s="46">
        <f t="shared" si="18"/>
        <v>2</v>
      </c>
      <c r="G46" s="46">
        <f t="shared" si="18"/>
        <v>7</v>
      </c>
      <c r="H46" s="46">
        <f t="shared" si="18"/>
        <v>10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6.5" hidden="1" customHeight="1" outlineLevel="1">
      <c r="C47" s="4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6.5" hidden="1" customHeight="1" outlineLevel="1">
      <c r="A48" s="41" t="s">
        <v>40</v>
      </c>
      <c r="C48" s="42"/>
      <c r="E48" s="48">
        <v>0.3</v>
      </c>
      <c r="F48" s="48">
        <v>0.3</v>
      </c>
      <c r="G48" s="48">
        <v>0.3</v>
      </c>
      <c r="H48" s="48">
        <v>0.3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6.5" hidden="1" customHeight="1" outlineLevel="1">
      <c r="A49" s="43" t="s">
        <v>35</v>
      </c>
      <c r="C49" s="42"/>
      <c r="E49" s="49">
        <f t="shared" ref="E49:H49" si="19">30000</f>
        <v>30000</v>
      </c>
      <c r="F49" s="49">
        <f t="shared" si="19"/>
        <v>30000</v>
      </c>
      <c r="G49" s="49">
        <f t="shared" si="19"/>
        <v>30000</v>
      </c>
      <c r="H49" s="49">
        <f t="shared" si="19"/>
        <v>30000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6.5" hidden="1" customHeight="1" outlineLevel="1">
      <c r="A50" s="43" t="s">
        <v>36</v>
      </c>
      <c r="C50" s="42"/>
      <c r="E50" s="49">
        <v>22000</v>
      </c>
      <c r="F50" s="49">
        <v>22000</v>
      </c>
      <c r="G50" s="49">
        <v>22000</v>
      </c>
      <c r="H50" s="49">
        <v>22000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6.5" hidden="1" customHeight="1" outlineLevel="1">
      <c r="A51" s="43" t="s">
        <v>37</v>
      </c>
      <c r="C51" s="42"/>
      <c r="E51" s="49">
        <v>22000</v>
      </c>
      <c r="F51" s="49">
        <v>22000</v>
      </c>
      <c r="G51" s="49">
        <v>22000</v>
      </c>
      <c r="H51" s="49">
        <v>22000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6.5" hidden="1" customHeight="1" outlineLevel="1">
      <c r="A52" s="43" t="s">
        <v>38</v>
      </c>
      <c r="C52" s="42"/>
      <c r="E52" s="49">
        <v>25000</v>
      </c>
      <c r="F52" s="49">
        <v>25000</v>
      </c>
      <c r="G52" s="49">
        <v>25000</v>
      </c>
      <c r="H52" s="49">
        <v>25000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6.5" hidden="1" customHeight="1" outlineLevel="1">
      <c r="C53" s="4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6.5" hidden="1" customHeight="1" outlineLevel="1">
      <c r="A54" s="41" t="s">
        <v>41</v>
      </c>
      <c r="C54" s="4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6.5" hidden="1" customHeight="1" outlineLevel="1">
      <c r="A55" s="43" t="s">
        <v>35</v>
      </c>
      <c r="C55" s="42"/>
      <c r="E55" s="50">
        <f t="shared" ref="E55:H55" si="20">(E49+E49*E$48)*E42</f>
        <v>0</v>
      </c>
      <c r="F55" s="50">
        <f t="shared" si="20"/>
        <v>78000</v>
      </c>
      <c r="G55" s="50">
        <f t="shared" si="20"/>
        <v>195000</v>
      </c>
      <c r="H55" s="50">
        <f t="shared" si="20"/>
        <v>234000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6.5" hidden="1" customHeight="1" outlineLevel="1">
      <c r="A56" s="43" t="s">
        <v>36</v>
      </c>
      <c r="C56" s="42"/>
      <c r="E56" s="50">
        <f t="shared" ref="E56:H56" si="21">(E50+E50*E$48)*E43</f>
        <v>0</v>
      </c>
      <c r="F56" s="50">
        <f t="shared" si="21"/>
        <v>0</v>
      </c>
      <c r="G56" s="50">
        <f t="shared" si="21"/>
        <v>28600</v>
      </c>
      <c r="H56" s="50">
        <f t="shared" si="21"/>
        <v>57200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6.5" hidden="1" customHeight="1" outlineLevel="1">
      <c r="A57" s="43" t="s">
        <v>37</v>
      </c>
      <c r="C57" s="42"/>
      <c r="E57" s="50">
        <f t="shared" ref="E57:H57" si="22">(E51+E51*E$48)*E44</f>
        <v>0</v>
      </c>
      <c r="F57" s="50">
        <f t="shared" si="22"/>
        <v>0</v>
      </c>
      <c r="G57" s="50">
        <f t="shared" si="22"/>
        <v>28600</v>
      </c>
      <c r="H57" s="50">
        <f t="shared" si="22"/>
        <v>28600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6.5" hidden="1" customHeight="1" outlineLevel="1">
      <c r="A58" s="43" t="s">
        <v>38</v>
      </c>
      <c r="C58" s="42"/>
      <c r="E58" s="50">
        <f t="shared" ref="E58:H58" si="23">(E52+E52*E$48)*E45</f>
        <v>0</v>
      </c>
      <c r="F58" s="50">
        <f t="shared" si="23"/>
        <v>0</v>
      </c>
      <c r="G58" s="50">
        <f t="shared" si="23"/>
        <v>0</v>
      </c>
      <c r="H58" s="50">
        <f t="shared" si="23"/>
        <v>32500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6.5" hidden="1" customHeight="1" outlineLevel="1">
      <c r="A59" s="45" t="s">
        <v>39</v>
      </c>
      <c r="B59" s="46"/>
      <c r="C59" s="47"/>
      <c r="D59" s="46"/>
      <c r="E59" s="51">
        <f t="shared" ref="E59:H59" si="24">SUM(E55:E58)</f>
        <v>0</v>
      </c>
      <c r="F59" s="51">
        <f t="shared" si="24"/>
        <v>78000</v>
      </c>
      <c r="G59" s="51">
        <f t="shared" si="24"/>
        <v>252200</v>
      </c>
      <c r="H59" s="51">
        <f t="shared" si="24"/>
        <v>352300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6.5" hidden="1" customHeight="1" outlineLevel="1">
      <c r="C60" s="42"/>
      <c r="F60" s="50"/>
      <c r="G60" s="50"/>
      <c r="H60" s="50"/>
      <c r="I60" s="22"/>
      <c r="J60" s="22"/>
      <c r="K60" s="52"/>
      <c r="L60" s="52"/>
      <c r="M60" s="5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6.5" hidden="1" customHeight="1" outlineLevel="1">
      <c r="A61" s="19" t="s">
        <v>42</v>
      </c>
      <c r="B61" s="20"/>
      <c r="C61" s="21"/>
      <c r="D61" s="20"/>
      <c r="E61" s="20"/>
      <c r="F61" s="20"/>
      <c r="G61" s="20"/>
      <c r="H61" s="20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6.5" hidden="1" customHeight="1" outlineLevel="1">
      <c r="A62" s="43" t="s">
        <v>43</v>
      </c>
      <c r="C62" s="42"/>
      <c r="E62" s="53">
        <v>15000</v>
      </c>
      <c r="F62" s="49">
        <v>30000</v>
      </c>
      <c r="G62" s="49">
        <v>30000</v>
      </c>
      <c r="H62" s="49">
        <v>30000</v>
      </c>
      <c r="I62" s="25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6.5" hidden="1" customHeight="1" outlineLevel="1">
      <c r="A63" s="43" t="s">
        <v>44</v>
      </c>
      <c r="C63" s="42"/>
      <c r="E63" s="53">
        <v>20000</v>
      </c>
      <c r="F63" s="49">
        <v>35000</v>
      </c>
      <c r="G63" s="49">
        <v>35000</v>
      </c>
      <c r="H63" s="49">
        <v>35000</v>
      </c>
      <c r="I63" s="54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6.5" hidden="1" customHeight="1" outlineLevel="1">
      <c r="A64" s="43" t="s">
        <v>45</v>
      </c>
      <c r="C64" s="42"/>
      <c r="E64" s="53">
        <v>24685</v>
      </c>
      <c r="F64" s="49">
        <v>40000</v>
      </c>
      <c r="G64" s="49">
        <v>40000</v>
      </c>
      <c r="H64" s="49">
        <v>40000</v>
      </c>
      <c r="I64" s="54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6.5" hidden="1" customHeight="1" outlineLevel="1">
      <c r="A65" s="43" t="s">
        <v>46</v>
      </c>
      <c r="C65" s="42"/>
      <c r="E65" s="53">
        <v>8000</v>
      </c>
      <c r="F65" s="49">
        <v>50000</v>
      </c>
      <c r="G65" s="49">
        <v>60000</v>
      </c>
      <c r="H65" s="49">
        <v>70000</v>
      </c>
      <c r="I65" s="54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6.5" hidden="1" customHeight="1" outlineLevel="1">
      <c r="A66" s="43" t="s">
        <v>47</v>
      </c>
      <c r="C66" s="42"/>
      <c r="E66" s="53">
        <v>6000</v>
      </c>
      <c r="F66" s="49">
        <v>18000</v>
      </c>
      <c r="G66" s="49">
        <v>18000</v>
      </c>
      <c r="H66" s="49">
        <v>18000</v>
      </c>
      <c r="I66" s="54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6.5" hidden="1" customHeight="1" outlineLevel="1">
      <c r="A67" s="45" t="s">
        <v>39</v>
      </c>
      <c r="B67" s="46"/>
      <c r="C67" s="47"/>
      <c r="D67" s="46"/>
      <c r="E67" s="51">
        <f t="shared" ref="E67:H67" si="25">SUM(E62:E66)</f>
        <v>73685</v>
      </c>
      <c r="F67" s="51">
        <f t="shared" si="25"/>
        <v>173000</v>
      </c>
      <c r="G67" s="51">
        <f t="shared" si="25"/>
        <v>183000</v>
      </c>
      <c r="H67" s="51">
        <f t="shared" si="25"/>
        <v>193000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6.5" hidden="1" customHeight="1" outlineLevel="1">
      <c r="A68" s="5"/>
      <c r="B68" s="5"/>
      <c r="C68" s="1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6.5" hidden="1" customHeight="1" outlineLevel="1">
      <c r="A69" s="19" t="s">
        <v>48</v>
      </c>
      <c r="B69" s="20"/>
      <c r="C69" s="21"/>
      <c r="D69" s="20"/>
      <c r="E69" s="20"/>
      <c r="F69" s="20"/>
      <c r="G69" s="20"/>
      <c r="H69" s="2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6.5" hidden="1" customHeight="1" outlineLevel="1">
      <c r="A70" s="5" t="s">
        <v>49</v>
      </c>
      <c r="B70" s="5"/>
      <c r="C70" s="15"/>
      <c r="D70" s="5"/>
      <c r="E70" s="49">
        <v>1407</v>
      </c>
      <c r="F70" s="5">
        <f t="shared" ref="F70:H70" si="26">F103*F71</f>
        <v>15841.136696434702</v>
      </c>
      <c r="G70" s="5">
        <f t="shared" si="26"/>
        <v>27295.973386915794</v>
      </c>
      <c r="H70" s="5">
        <f t="shared" si="26"/>
        <v>38683.83229912298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6.5" hidden="1" customHeight="1" outlineLevel="1">
      <c r="A71" s="5" t="s">
        <v>50</v>
      </c>
      <c r="B71" s="5"/>
      <c r="C71" s="15"/>
      <c r="D71" s="5"/>
      <c r="E71" s="35"/>
      <c r="F71" s="26">
        <v>0.02</v>
      </c>
      <c r="G71" s="35">
        <f t="shared" ref="G71:H71" si="27">F71</f>
        <v>0.02</v>
      </c>
      <c r="H71" s="35">
        <f t="shared" si="27"/>
        <v>0.02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6.5" hidden="1" customHeight="1" outlineLevel="1">
      <c r="A72" s="5"/>
      <c r="B72" s="5"/>
      <c r="C72" s="1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6.5" hidden="1" customHeight="1" outlineLevel="1">
      <c r="A73" s="19" t="s">
        <v>51</v>
      </c>
      <c r="B73" s="20"/>
      <c r="C73" s="21"/>
      <c r="D73" s="20"/>
      <c r="E73" s="20"/>
      <c r="F73" s="20"/>
      <c r="G73" s="20"/>
      <c r="H73" s="2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6.5" hidden="1" customHeight="1" outlineLevel="1">
      <c r="A74" s="16" t="s">
        <v>52</v>
      </c>
      <c r="B74" s="5"/>
      <c r="C74" s="1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6.5" hidden="1" customHeight="1" outlineLevel="1">
      <c r="A75" s="5" t="s">
        <v>53</v>
      </c>
      <c r="B75" s="5"/>
      <c r="C75" s="15"/>
      <c r="D75" s="5"/>
      <c r="E75" s="25"/>
      <c r="F75" s="25">
        <v>24.999500000000001</v>
      </c>
      <c r="G75" s="25">
        <v>24.999500000000001</v>
      </c>
      <c r="H75" s="25">
        <v>24.999500000000001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6.5" hidden="1" customHeight="1" outlineLevel="1">
      <c r="A76" s="5"/>
      <c r="B76" s="5"/>
      <c r="C76" s="15"/>
      <c r="D76" s="55"/>
      <c r="E76" s="56"/>
      <c r="F76" s="56"/>
      <c r="G76" s="56"/>
      <c r="H76" s="5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6.5" hidden="1" customHeight="1" outlineLevel="1">
      <c r="A77" s="16" t="s">
        <v>54</v>
      </c>
      <c r="B77" s="5"/>
      <c r="C77" s="1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6.5" hidden="1" customHeight="1" outlineLevel="1">
      <c r="A78" s="5" t="s">
        <v>55</v>
      </c>
      <c r="B78" s="5"/>
      <c r="C78" s="15"/>
      <c r="D78" s="5"/>
      <c r="E78" s="25"/>
      <c r="F78" s="25">
        <v>60</v>
      </c>
      <c r="G78" s="25">
        <v>60</v>
      </c>
      <c r="H78" s="25">
        <v>60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6.5" hidden="1" customHeight="1" outlineLevel="1">
      <c r="A79" s="5"/>
      <c r="B79" s="5"/>
      <c r="C79" s="1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6.5" hidden="1" customHeight="1" outlineLevel="1">
      <c r="A80" s="16" t="s">
        <v>56</v>
      </c>
      <c r="B80" s="5"/>
      <c r="C80" s="15"/>
      <c r="D80" s="5"/>
      <c r="E80" s="25"/>
      <c r="F80" s="25"/>
      <c r="G80" s="25"/>
      <c r="H80" s="2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6.5" hidden="1" customHeight="1" outlineLevel="1">
      <c r="A81" s="5" t="s">
        <v>57</v>
      </c>
      <c r="B81" s="5"/>
      <c r="C81" s="15"/>
      <c r="D81" s="25"/>
      <c r="E81" s="25">
        <v>19700</v>
      </c>
      <c r="F81" s="5">
        <f t="shared" ref="F81:H81" si="28">0.3*F67</f>
        <v>51900</v>
      </c>
      <c r="G81" s="5">
        <f t="shared" si="28"/>
        <v>54900</v>
      </c>
      <c r="H81" s="5">
        <f t="shared" si="28"/>
        <v>57900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6.5" hidden="1" customHeight="1" outlineLevel="1">
      <c r="A82" s="5" t="s">
        <v>58</v>
      </c>
      <c r="B82" s="5"/>
      <c r="C82" s="15"/>
      <c r="D82" s="5"/>
      <c r="E82" s="25">
        <v>0</v>
      </c>
      <c r="F82" s="25">
        <f t="shared" ref="F82:H82" si="29">2500*F46</f>
        <v>5000</v>
      </c>
      <c r="G82" s="25">
        <f t="shared" si="29"/>
        <v>17500</v>
      </c>
      <c r="H82" s="25">
        <f t="shared" si="29"/>
        <v>25000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6.5" hidden="1" customHeight="1" outlineLevel="1">
      <c r="A83" s="5" t="s">
        <v>59</v>
      </c>
      <c r="B83" s="5"/>
      <c r="C83" s="15"/>
      <c r="D83" s="5"/>
      <c r="E83" s="25">
        <v>0</v>
      </c>
      <c r="F83" s="25">
        <v>0</v>
      </c>
      <c r="G83" s="25">
        <v>0</v>
      </c>
      <c r="H83" s="25">
        <v>0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6.5" hidden="1" customHeight="1" outlineLevel="1">
      <c r="A84" s="5"/>
      <c r="B84" s="5"/>
      <c r="C84" s="1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6.5" hidden="1" customHeight="1" outlineLevel="1">
      <c r="A85" s="16" t="s">
        <v>60</v>
      </c>
      <c r="B85" s="5"/>
      <c r="C85" s="1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6.5" hidden="1" customHeight="1" outlineLevel="1">
      <c r="A86" s="5" t="s">
        <v>61</v>
      </c>
      <c r="B86" s="5"/>
      <c r="C86" s="15"/>
      <c r="D86" s="25"/>
      <c r="E86" s="25">
        <v>5</v>
      </c>
      <c r="F86" s="25">
        <v>5</v>
      </c>
      <c r="G86" s="25">
        <v>5</v>
      </c>
      <c r="H86" s="25">
        <v>5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6.5" hidden="1" customHeight="1" outlineLevel="1">
      <c r="A87" s="5" t="s">
        <v>62</v>
      </c>
      <c r="B87" s="5"/>
      <c r="C87" s="15"/>
      <c r="D87" s="5"/>
      <c r="E87" s="25">
        <v>5</v>
      </c>
      <c r="F87" s="25">
        <v>5</v>
      </c>
      <c r="G87" s="25">
        <v>5</v>
      </c>
      <c r="H87" s="25">
        <v>5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6.5" hidden="1" customHeight="1" outlineLevel="1">
      <c r="A88" s="5"/>
      <c r="B88" s="5"/>
      <c r="C88" s="1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6.5" hidden="1" customHeight="1" outlineLevel="1">
      <c r="A89" s="16" t="s">
        <v>63</v>
      </c>
      <c r="B89" s="5"/>
      <c r="C89" s="1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6.5" hidden="1" customHeight="1" outlineLevel="1">
      <c r="A90" s="5" t="s">
        <v>64</v>
      </c>
      <c r="B90" s="5"/>
      <c r="C90" s="15"/>
      <c r="D90" s="5"/>
      <c r="E90" s="57">
        <v>0</v>
      </c>
      <c r="F90" s="57">
        <v>0</v>
      </c>
      <c r="G90" s="57">
        <v>0</v>
      </c>
      <c r="H90" s="57">
        <v>0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6.5" hidden="1" customHeight="1" outlineLevel="1">
      <c r="A91" s="5" t="s">
        <v>65</v>
      </c>
      <c r="B91" s="5"/>
      <c r="C91" s="15"/>
      <c r="D91" s="58"/>
      <c r="E91" s="25">
        <v>0</v>
      </c>
      <c r="F91" s="25">
        <v>0</v>
      </c>
      <c r="G91" s="25">
        <v>0</v>
      </c>
      <c r="H91" s="25">
        <v>0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6.5" hidden="1" customHeight="1" outlineLevel="1">
      <c r="A92" s="5" t="s">
        <v>66</v>
      </c>
      <c r="B92" s="5"/>
      <c r="C92" s="15"/>
      <c r="D92" s="5"/>
      <c r="E92" s="25">
        <f>25474-23000+61173</f>
        <v>63647</v>
      </c>
      <c r="F92" s="25">
        <v>375000</v>
      </c>
      <c r="G92" s="25">
        <v>0</v>
      </c>
      <c r="H92" s="25">
        <v>0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6.5" hidden="1" customHeight="1" outlineLevel="1">
      <c r="A93" s="5" t="s">
        <v>67</v>
      </c>
      <c r="B93" s="5"/>
      <c r="C93" s="15"/>
      <c r="D93" s="5"/>
      <c r="E93" s="25">
        <v>0</v>
      </c>
      <c r="F93" s="25">
        <v>0</v>
      </c>
      <c r="G93" s="25">
        <v>0</v>
      </c>
      <c r="H93" s="25">
        <v>0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6.5" hidden="1" customHeight="1" outlineLevel="1">
      <c r="A94" s="5"/>
      <c r="B94" s="5"/>
      <c r="C94" s="15"/>
      <c r="D94" s="5"/>
      <c r="E94" s="25"/>
      <c r="F94" s="25"/>
      <c r="G94" s="25"/>
      <c r="H94" s="2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6.5" hidden="1" customHeight="1" outlineLevel="1">
      <c r="A95" s="5" t="s">
        <v>68</v>
      </c>
      <c r="B95" s="5"/>
      <c r="C95" s="15"/>
      <c r="D95" s="5"/>
      <c r="E95" s="26"/>
      <c r="F95" s="26">
        <v>0.27500000000000002</v>
      </c>
      <c r="G95" s="26">
        <v>0.27500000000000002</v>
      </c>
      <c r="H95" s="26">
        <v>0.27500000000000002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6.5" customHeight="1" collapsed="1">
      <c r="A96" s="5"/>
      <c r="B96" s="5"/>
      <c r="C96" s="1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8.75" customHeight="1">
      <c r="A97" s="17" t="s">
        <v>69</v>
      </c>
      <c r="B97" s="17"/>
      <c r="C97" s="17"/>
      <c r="D97" s="17"/>
      <c r="E97" s="17"/>
      <c r="F97" s="17"/>
      <c r="G97" s="17"/>
      <c r="H97" s="17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1:28" ht="18.75" hidden="1" customHeight="1">
      <c r="A98" s="59"/>
      <c r="B98" s="59"/>
      <c r="C98" s="59"/>
      <c r="D98" s="59"/>
      <c r="E98" s="59"/>
      <c r="F98" s="59"/>
      <c r="G98" s="59"/>
      <c r="H98" s="59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spans="1:28" ht="16.5" customHeight="1" outlineLevel="1">
      <c r="A99" s="16" t="s">
        <v>15</v>
      </c>
      <c r="B99" s="5"/>
      <c r="C99" s="1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6.5" customHeight="1" outlineLevel="1">
      <c r="A100" s="5" t="s">
        <v>70</v>
      </c>
      <c r="B100" s="5"/>
      <c r="C100" s="15"/>
      <c r="D100" s="5"/>
      <c r="E100" s="25">
        <v>107477</v>
      </c>
      <c r="F100" s="5">
        <f t="shared" ref="F100:H100" si="30">F33</f>
        <v>738318.33482173504</v>
      </c>
      <c r="G100" s="5">
        <f t="shared" si="30"/>
        <v>959813.83526825556</v>
      </c>
      <c r="H100" s="5">
        <f t="shared" si="30"/>
        <v>1181309.3357147761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6.5" customHeight="1" outlineLevel="1">
      <c r="A101" s="5" t="s">
        <v>71</v>
      </c>
      <c r="B101" s="5"/>
      <c r="C101" s="15"/>
      <c r="D101" s="5"/>
      <c r="E101" s="5">
        <f t="shared" ref="E101:H101" si="31">E38</f>
        <v>0</v>
      </c>
      <c r="F101" s="5">
        <f t="shared" si="31"/>
        <v>53738.499999999985</v>
      </c>
      <c r="G101" s="5">
        <f t="shared" si="31"/>
        <v>404984.83407753415</v>
      </c>
      <c r="H101" s="5">
        <f t="shared" si="31"/>
        <v>752882.27924137283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6.5" customHeight="1" outlineLevel="1">
      <c r="A102" s="5" t="s">
        <v>72</v>
      </c>
      <c r="B102" s="5"/>
      <c r="C102" s="15"/>
      <c r="D102" s="5"/>
      <c r="E102" s="25">
        <v>4500</v>
      </c>
      <c r="F102" s="5">
        <f t="shared" ref="F102:H102" si="32">F39</f>
        <v>0</v>
      </c>
      <c r="G102" s="5">
        <f t="shared" si="32"/>
        <v>0</v>
      </c>
      <c r="H102" s="5">
        <f t="shared" si="32"/>
        <v>0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6.5" customHeight="1" outlineLevel="1">
      <c r="A103" s="30" t="s">
        <v>73</v>
      </c>
      <c r="B103" s="30"/>
      <c r="C103" s="31"/>
      <c r="D103" s="30"/>
      <c r="E103" s="30">
        <f t="shared" ref="E103:H103" si="33">SUM(E100:E102)</f>
        <v>111977</v>
      </c>
      <c r="F103" s="30">
        <f t="shared" si="33"/>
        <v>792056.83482173504</v>
      </c>
      <c r="G103" s="30">
        <f t="shared" si="33"/>
        <v>1364798.6693457896</v>
      </c>
      <c r="H103" s="30">
        <f t="shared" si="33"/>
        <v>1934191.6149561489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6.5" customHeight="1" outlineLevel="1">
      <c r="A104" s="16"/>
      <c r="B104" s="16"/>
      <c r="C104" s="60"/>
      <c r="D104" s="16"/>
      <c r="E104" s="16"/>
      <c r="F104" s="16"/>
      <c r="G104" s="16"/>
      <c r="H104" s="16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6.5" customHeight="1" outlineLevel="1">
      <c r="A105" s="16" t="s">
        <v>74</v>
      </c>
      <c r="B105" s="5"/>
      <c r="C105" s="1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6.5" customHeight="1" outlineLevel="1">
      <c r="A106" s="5" t="s">
        <v>75</v>
      </c>
      <c r="B106" s="5"/>
      <c r="C106" s="15"/>
      <c r="D106" s="5"/>
      <c r="E106" s="5">
        <f t="shared" ref="E106:H106" si="34">E7</f>
        <v>14557</v>
      </c>
      <c r="F106" s="5">
        <f t="shared" si="34"/>
        <v>100000</v>
      </c>
      <c r="G106" s="5">
        <f t="shared" si="34"/>
        <v>130000</v>
      </c>
      <c r="H106" s="5">
        <f t="shared" si="34"/>
        <v>160000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6.5" customHeight="1" outlineLevel="1">
      <c r="A107" s="5" t="s">
        <v>76</v>
      </c>
      <c r="B107" s="5"/>
      <c r="C107" s="15"/>
      <c r="D107" s="5"/>
      <c r="E107" s="5">
        <f t="shared" ref="E107:H107" si="35">E67</f>
        <v>73685</v>
      </c>
      <c r="F107" s="5">
        <f t="shared" si="35"/>
        <v>173000</v>
      </c>
      <c r="G107" s="5">
        <f t="shared" si="35"/>
        <v>183000</v>
      </c>
      <c r="H107" s="5">
        <f t="shared" si="35"/>
        <v>193000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6.5" customHeight="1" outlineLevel="1">
      <c r="A108" s="5" t="s">
        <v>77</v>
      </c>
      <c r="B108" s="5"/>
      <c r="C108" s="15"/>
      <c r="D108" s="5"/>
      <c r="E108" s="5">
        <f t="shared" ref="E108:H108" si="36">E59</f>
        <v>0</v>
      </c>
      <c r="F108" s="5">
        <f t="shared" si="36"/>
        <v>78000</v>
      </c>
      <c r="G108" s="5">
        <f t="shared" si="36"/>
        <v>252200</v>
      </c>
      <c r="H108" s="5">
        <f t="shared" si="36"/>
        <v>352300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6.5" customHeight="1" outlineLevel="1">
      <c r="A109" s="27" t="s">
        <v>39</v>
      </c>
      <c r="B109" s="27"/>
      <c r="C109" s="28"/>
      <c r="D109" s="27"/>
      <c r="E109" s="27">
        <f t="shared" ref="E109:H109" si="37">SUM(E106:E108)</f>
        <v>88242</v>
      </c>
      <c r="F109" s="27">
        <f t="shared" si="37"/>
        <v>351000</v>
      </c>
      <c r="G109" s="27">
        <f t="shared" si="37"/>
        <v>565200</v>
      </c>
      <c r="H109" s="27">
        <f t="shared" si="37"/>
        <v>705300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6.5" customHeight="1" outlineLevel="1">
      <c r="A110" s="30" t="s">
        <v>78</v>
      </c>
      <c r="B110" s="30"/>
      <c r="C110" s="31"/>
      <c r="D110" s="30"/>
      <c r="E110" s="30">
        <f t="shared" ref="E110:H110" si="38">E103-E109</f>
        <v>23735</v>
      </c>
      <c r="F110" s="30">
        <f t="shared" si="38"/>
        <v>441056.83482173504</v>
      </c>
      <c r="G110" s="30">
        <f t="shared" si="38"/>
        <v>799598.66934578959</v>
      </c>
      <c r="H110" s="30">
        <f t="shared" si="38"/>
        <v>1228891.6149561489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6.5" customHeight="1" outlineLevel="1">
      <c r="A111" s="61" t="s">
        <v>79</v>
      </c>
      <c r="B111" s="16"/>
      <c r="C111" s="60"/>
      <c r="D111" s="16"/>
      <c r="E111" s="62">
        <f t="shared" ref="E111:H111" si="39">E110/E$103</f>
        <v>0.21196317100833206</v>
      </c>
      <c r="F111" s="62">
        <f t="shared" si="39"/>
        <v>0.55684998276796882</v>
      </c>
      <c r="G111" s="62">
        <f t="shared" si="39"/>
        <v>0.58587298427618906</v>
      </c>
      <c r="H111" s="62">
        <f t="shared" si="39"/>
        <v>0.63535153676281952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6.5" customHeight="1" outlineLevel="1">
      <c r="A112" s="5"/>
      <c r="B112" s="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6.5" customHeight="1" outlineLevel="1">
      <c r="A113" s="5" t="s">
        <v>80</v>
      </c>
      <c r="B113" s="5"/>
      <c r="C113" s="15"/>
      <c r="D113" s="5"/>
      <c r="E113" s="5">
        <f t="shared" ref="E113:H113" si="40">+E211</f>
        <v>6775</v>
      </c>
      <c r="F113" s="5">
        <f t="shared" si="40"/>
        <v>18155</v>
      </c>
      <c r="G113" s="5">
        <f t="shared" si="40"/>
        <v>32635</v>
      </c>
      <c r="H113" s="5">
        <f t="shared" si="40"/>
        <v>49215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6.5" customHeight="1" outlineLevel="1">
      <c r="A114" s="5" t="s">
        <v>81</v>
      </c>
      <c r="B114" s="5"/>
      <c r="C114" s="15"/>
      <c r="D114" s="5"/>
      <c r="E114" s="5">
        <f>E70</f>
        <v>1407</v>
      </c>
      <c r="F114" s="5">
        <f t="shared" ref="F114:H114" si="41">+F224+F70</f>
        <v>15841.136696434702</v>
      </c>
      <c r="G114" s="5">
        <f t="shared" si="41"/>
        <v>27295.973386915794</v>
      </c>
      <c r="H114" s="5">
        <f t="shared" si="41"/>
        <v>38683.83229912298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6.5" customHeight="1" outlineLevel="1">
      <c r="A115" s="27" t="s">
        <v>82</v>
      </c>
      <c r="B115" s="27"/>
      <c r="C115" s="28"/>
      <c r="D115" s="27"/>
      <c r="E115" s="27">
        <f t="shared" ref="E115:H115" si="42">E110-E113-E114</f>
        <v>15553</v>
      </c>
      <c r="F115" s="27">
        <f t="shared" si="42"/>
        <v>407060.69812530035</v>
      </c>
      <c r="G115" s="27">
        <f t="shared" si="42"/>
        <v>739667.69595887384</v>
      </c>
      <c r="H115" s="27">
        <f t="shared" si="42"/>
        <v>1140992.7826570258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6.5" customHeight="1" outlineLevel="1">
      <c r="A116" s="5"/>
      <c r="B116" s="5"/>
      <c r="C116" s="1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6.5" customHeight="1" outlineLevel="1">
      <c r="A117" s="5" t="s">
        <v>83</v>
      </c>
      <c r="B117" s="5"/>
      <c r="C117" s="15"/>
      <c r="D117" s="5"/>
      <c r="E117" s="25">
        <v>2332</v>
      </c>
      <c r="F117" s="5">
        <f t="shared" ref="F117:H117" si="43">IF(F115&lt;0,0,F115*F95)</f>
        <v>111941.6919844576</v>
      </c>
      <c r="G117" s="5">
        <f t="shared" si="43"/>
        <v>203408.61638869031</v>
      </c>
      <c r="H117" s="5">
        <f t="shared" si="43"/>
        <v>313773.01523068215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6.5" customHeight="1" outlineLevel="1">
      <c r="A118" s="63" t="s">
        <v>84</v>
      </c>
      <c r="B118" s="63"/>
      <c r="C118" s="64"/>
      <c r="D118" s="63"/>
      <c r="E118" s="63">
        <f t="shared" ref="E118:H118" si="44">+E115-E117</f>
        <v>13221</v>
      </c>
      <c r="F118" s="63">
        <f t="shared" si="44"/>
        <v>295119.00614084274</v>
      </c>
      <c r="G118" s="63">
        <f t="shared" si="44"/>
        <v>536259.07957018353</v>
      </c>
      <c r="H118" s="63">
        <f t="shared" si="44"/>
        <v>827219.76742634363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6.5" customHeight="1" outlineLevel="1">
      <c r="A119" s="5"/>
      <c r="B119" s="5"/>
      <c r="C119" s="1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6.5" customHeight="1" outlineLevel="1">
      <c r="A120" s="5" t="s">
        <v>67</v>
      </c>
      <c r="B120" s="5"/>
      <c r="C120" s="15"/>
      <c r="D120" s="5"/>
      <c r="E120" s="5">
        <f t="shared" ref="E120:H120" si="45">+E93</f>
        <v>0</v>
      </c>
      <c r="F120" s="5">
        <f t="shared" si="45"/>
        <v>0</v>
      </c>
      <c r="G120" s="5">
        <f t="shared" si="45"/>
        <v>0</v>
      </c>
      <c r="H120" s="5">
        <f t="shared" si="45"/>
        <v>0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6.5" customHeight="1" outlineLevel="1">
      <c r="A121" s="5"/>
      <c r="B121" s="5"/>
      <c r="C121" s="1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6.5" customHeight="1">
      <c r="A122" s="5"/>
      <c r="B122" s="5"/>
      <c r="C122" s="1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8.75" customHeight="1">
      <c r="A123" s="17" t="s">
        <v>51</v>
      </c>
      <c r="B123" s="17"/>
      <c r="C123" s="17"/>
      <c r="D123" s="17"/>
      <c r="E123" s="17"/>
      <c r="F123" s="17"/>
      <c r="G123" s="17"/>
      <c r="H123" s="17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</row>
    <row r="124" spans="1:28" ht="16.5" customHeight="1" outlineLevel="1">
      <c r="A124" s="5"/>
      <c r="B124" s="5"/>
      <c r="C124" s="1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6.5" customHeight="1" outlineLevel="1">
      <c r="A125" s="16" t="s">
        <v>85</v>
      </c>
      <c r="B125" s="5"/>
      <c r="C125" s="1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6.5" customHeight="1" outlineLevel="1">
      <c r="A126" s="16" t="s">
        <v>86</v>
      </c>
      <c r="B126" s="5"/>
      <c r="C126" s="1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6.5" customHeight="1" outlineLevel="1">
      <c r="A127" s="5" t="s">
        <v>87</v>
      </c>
      <c r="B127" s="5"/>
      <c r="C127" s="15"/>
      <c r="D127" s="5"/>
      <c r="E127" s="5">
        <f t="shared" ref="E127:H127" si="46">E172</f>
        <v>100814</v>
      </c>
      <c r="F127" s="5">
        <f t="shared" si="46"/>
        <v>678184.97917611408</v>
      </c>
      <c r="G127" s="5">
        <f t="shared" si="46"/>
        <v>1137094.7861649713</v>
      </c>
      <c r="H127" s="5">
        <f t="shared" si="46"/>
        <v>1893274.6523754625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6.5" customHeight="1" outlineLevel="1">
      <c r="A128" s="5" t="s">
        <v>88</v>
      </c>
      <c r="B128" s="5"/>
      <c r="C128" s="15">
        <f>4872+900+1302</f>
        <v>7074</v>
      </c>
      <c r="D128" s="5"/>
      <c r="E128" s="25">
        <v>7933</v>
      </c>
      <c r="F128" s="5">
        <f t="shared" ref="F128:H128" si="47">F103*F75/365</f>
        <v>54249.383129112241</v>
      </c>
      <c r="G128" s="5">
        <f t="shared" si="47"/>
        <v>93477.491326876901</v>
      </c>
      <c r="H128" s="5">
        <f t="shared" si="47"/>
        <v>132476.2281591678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6.5" customHeight="1" outlineLevel="1">
      <c r="A129" s="27" t="s">
        <v>39</v>
      </c>
      <c r="B129" s="27"/>
      <c r="C129" s="28"/>
      <c r="D129" s="27"/>
      <c r="E129" s="27">
        <f t="shared" ref="E129:H129" si="48">SUM(E127:E128)</f>
        <v>108747</v>
      </c>
      <c r="F129" s="27">
        <f t="shared" si="48"/>
        <v>732434.36230522627</v>
      </c>
      <c r="G129" s="27">
        <f t="shared" si="48"/>
        <v>1230572.2774918482</v>
      </c>
      <c r="H129" s="27">
        <f t="shared" si="48"/>
        <v>2025750.8805346303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6.5" customHeight="1" outlineLevel="1">
      <c r="A130" s="5" t="s">
        <v>89</v>
      </c>
      <c r="B130" s="5"/>
      <c r="C130" s="15"/>
      <c r="D130" s="5"/>
      <c r="E130" s="5">
        <f t="shared" ref="E130:H130" si="49">E214</f>
        <v>27246</v>
      </c>
      <c r="F130" s="5">
        <f t="shared" si="49"/>
        <v>61991</v>
      </c>
      <c r="G130" s="5">
        <f t="shared" si="49"/>
        <v>88756</v>
      </c>
      <c r="H130" s="5">
        <f t="shared" si="49"/>
        <v>106941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6.5" customHeight="1" outlineLevel="1">
      <c r="A131" s="5" t="s">
        <v>58</v>
      </c>
      <c r="B131" s="5"/>
      <c r="C131" s="15"/>
      <c r="D131" s="5"/>
      <c r="E131" s="5">
        <f t="shared" ref="E131:H131" si="50">E215</f>
        <v>0</v>
      </c>
      <c r="F131" s="5">
        <f t="shared" si="50"/>
        <v>4000</v>
      </c>
      <c r="G131" s="5">
        <f t="shared" si="50"/>
        <v>17000</v>
      </c>
      <c r="H131" s="5">
        <f t="shared" si="50"/>
        <v>32500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6.5" customHeight="1" outlineLevel="1">
      <c r="A132" s="63" t="s">
        <v>90</v>
      </c>
      <c r="B132" s="63"/>
      <c r="C132" s="64"/>
      <c r="D132" s="63"/>
      <c r="E132" s="63">
        <f t="shared" ref="E132:H132" si="51">SUM(E129:E131)</f>
        <v>135993</v>
      </c>
      <c r="F132" s="63">
        <f t="shared" si="51"/>
        <v>798425.36230522627</v>
      </c>
      <c r="G132" s="63">
        <f t="shared" si="51"/>
        <v>1336328.2774918482</v>
      </c>
      <c r="H132" s="63">
        <f t="shared" si="51"/>
        <v>2165191.8805346303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6.5" customHeight="1" outlineLevel="1">
      <c r="A133" s="16" t="s">
        <v>91</v>
      </c>
      <c r="B133" s="5"/>
      <c r="C133" s="1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6.5" customHeight="1" outlineLevel="1">
      <c r="A134" s="16" t="s">
        <v>92</v>
      </c>
      <c r="B134" s="5"/>
      <c r="C134" s="1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6.5" customHeight="1" outlineLevel="1">
      <c r="A135" s="16" t="s">
        <v>93</v>
      </c>
      <c r="B135" s="5"/>
      <c r="C135" s="1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6.5" customHeight="1" outlineLevel="1">
      <c r="A136" s="5" t="s">
        <v>94</v>
      </c>
      <c r="B136" s="5"/>
      <c r="C136" s="15">
        <f>1639</f>
        <v>1639</v>
      </c>
      <c r="D136" s="5"/>
      <c r="E136" s="5">
        <v>36125</v>
      </c>
      <c r="F136" s="5">
        <f t="shared" ref="F136:H136" si="52">SUM(F107)*F78/365</f>
        <v>28438.35616438356</v>
      </c>
      <c r="G136" s="5">
        <f t="shared" si="52"/>
        <v>30082.191780821919</v>
      </c>
      <c r="H136" s="5">
        <f t="shared" si="52"/>
        <v>31726.027397260274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6.5" customHeight="1" outlineLevel="1">
      <c r="A137" s="27" t="s">
        <v>39</v>
      </c>
      <c r="B137" s="27"/>
      <c r="C137" s="28"/>
      <c r="D137" s="27"/>
      <c r="E137" s="27">
        <f t="shared" ref="E137:H137" si="53">SUM(E136)</f>
        <v>36125</v>
      </c>
      <c r="F137" s="27">
        <f t="shared" si="53"/>
        <v>28438.35616438356</v>
      </c>
      <c r="G137" s="27">
        <f t="shared" si="53"/>
        <v>30082.191780821919</v>
      </c>
      <c r="H137" s="27">
        <f t="shared" si="53"/>
        <v>31726.027397260274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6.5" customHeight="1" outlineLevel="1">
      <c r="A138" s="5" t="s">
        <v>95</v>
      </c>
      <c r="B138" s="5"/>
      <c r="C138" s="15"/>
      <c r="D138" s="5"/>
      <c r="E138" s="25">
        <v>0</v>
      </c>
      <c r="F138" s="5">
        <f t="shared" ref="F138:H138" si="54">F222</f>
        <v>0</v>
      </c>
      <c r="G138" s="5">
        <f t="shared" si="54"/>
        <v>0</v>
      </c>
      <c r="H138" s="5">
        <f t="shared" si="54"/>
        <v>0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6.5" customHeight="1" outlineLevel="1">
      <c r="A139" s="30" t="s">
        <v>96</v>
      </c>
      <c r="B139" s="30"/>
      <c r="C139" s="31"/>
      <c r="D139" s="30"/>
      <c r="E139" s="30">
        <f t="shared" ref="E139:H139" si="55">SUM(E137:E138)</f>
        <v>36125</v>
      </c>
      <c r="F139" s="30">
        <f t="shared" si="55"/>
        <v>28438.35616438356</v>
      </c>
      <c r="G139" s="30">
        <f t="shared" si="55"/>
        <v>30082.191780821919</v>
      </c>
      <c r="H139" s="30">
        <f t="shared" si="55"/>
        <v>31726.027397260274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6.5" customHeight="1" outlineLevel="1">
      <c r="A140" s="16" t="s">
        <v>97</v>
      </c>
      <c r="B140" s="5"/>
      <c r="C140" s="1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2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6.5" customHeight="1" outlineLevel="1">
      <c r="A141" s="5" t="s">
        <v>98</v>
      </c>
      <c r="B141" s="5"/>
      <c r="C141" s="15"/>
      <c r="D141" s="15">
        <v>23000</v>
      </c>
      <c r="E141" s="5">
        <f t="shared" ref="E141:H141" si="56">+D141+E92</f>
        <v>86647</v>
      </c>
      <c r="F141" s="5">
        <f t="shared" si="56"/>
        <v>461647</v>
      </c>
      <c r="G141" s="5">
        <f t="shared" si="56"/>
        <v>461647</v>
      </c>
      <c r="H141" s="5">
        <f t="shared" si="56"/>
        <v>461647</v>
      </c>
      <c r="I141" s="5"/>
      <c r="J141" s="5"/>
      <c r="K141" s="5"/>
      <c r="L141" s="5"/>
      <c r="M141" s="5"/>
      <c r="N141" s="2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6.5" customHeight="1" outlineLevel="1">
      <c r="A142" s="5" t="s">
        <v>99</v>
      </c>
      <c r="B142" s="5"/>
      <c r="C142" s="15"/>
      <c r="D142" s="5"/>
      <c r="E142" s="5">
        <f>+C142+E118-E120</f>
        <v>13221</v>
      </c>
      <c r="F142" s="5">
        <f t="shared" ref="F142:H142" si="57">+E142+F118-F120</f>
        <v>308340.00614084274</v>
      </c>
      <c r="G142" s="5">
        <f t="shared" si="57"/>
        <v>844599.08571102633</v>
      </c>
      <c r="H142" s="5">
        <f t="shared" si="57"/>
        <v>1671818.85313737</v>
      </c>
      <c r="I142" s="5"/>
      <c r="J142" s="5"/>
      <c r="K142" s="5"/>
      <c r="L142" s="5"/>
      <c r="M142" s="5"/>
      <c r="N142" s="2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6.5" customHeight="1" outlineLevel="1">
      <c r="A143" s="27" t="s">
        <v>100</v>
      </c>
      <c r="B143" s="27"/>
      <c r="C143" s="28"/>
      <c r="D143" s="27"/>
      <c r="E143" s="27">
        <f t="shared" ref="E143:H143" si="58">SUM(E141:E142)</f>
        <v>99868</v>
      </c>
      <c r="F143" s="27">
        <f t="shared" si="58"/>
        <v>769987.0061408428</v>
      </c>
      <c r="G143" s="27">
        <f t="shared" si="58"/>
        <v>1306246.0857110263</v>
      </c>
      <c r="H143" s="27">
        <f t="shared" si="58"/>
        <v>2133465.8531373702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6.5" customHeight="1" outlineLevel="1">
      <c r="A144" s="63" t="s">
        <v>101</v>
      </c>
      <c r="B144" s="65"/>
      <c r="C144" s="66"/>
      <c r="D144" s="63"/>
      <c r="E144" s="63">
        <f t="shared" ref="E144:H144" si="59">+E143+E139</f>
        <v>135993</v>
      </c>
      <c r="F144" s="63">
        <f t="shared" si="59"/>
        <v>798425.36230522639</v>
      </c>
      <c r="G144" s="63">
        <f t="shared" si="59"/>
        <v>1336328.2774918482</v>
      </c>
      <c r="H144" s="63">
        <f t="shared" si="59"/>
        <v>2165191.8805346303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6.5" customHeight="1" outlineLevel="1">
      <c r="A145" s="16"/>
      <c r="B145" s="5"/>
      <c r="C145" s="15"/>
      <c r="D145" s="16"/>
      <c r="E145" s="16"/>
      <c r="F145" s="16"/>
      <c r="G145" s="16"/>
      <c r="H145" s="1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6.5" customHeight="1" outlineLevel="1">
      <c r="A146" s="61" t="s">
        <v>102</v>
      </c>
      <c r="B146" s="5"/>
      <c r="C146" s="15"/>
      <c r="D146" s="5"/>
      <c r="E146" s="67">
        <f t="shared" ref="E146:H146" si="60">E144-E132</f>
        <v>0</v>
      </c>
      <c r="F146" s="67">
        <f t="shared" si="60"/>
        <v>0</v>
      </c>
      <c r="G146" s="67">
        <f t="shared" si="60"/>
        <v>0</v>
      </c>
      <c r="H146" s="67">
        <f t="shared" si="60"/>
        <v>0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6.5" customHeight="1">
      <c r="A147" s="61"/>
      <c r="B147" s="5"/>
      <c r="C147" s="1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8.75" customHeight="1">
      <c r="A148" s="17" t="s">
        <v>103</v>
      </c>
      <c r="B148" s="17"/>
      <c r="C148" s="17"/>
      <c r="D148" s="17"/>
      <c r="E148" s="17"/>
      <c r="F148" s="17"/>
      <c r="G148" s="17"/>
      <c r="H148" s="17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</row>
    <row r="149" spans="1:28" ht="16.5" customHeight="1" outlineLevel="1">
      <c r="A149" s="16" t="s">
        <v>104</v>
      </c>
      <c r="B149" s="5"/>
      <c r="C149" s="1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6.5" customHeight="1" outlineLevel="1">
      <c r="A150" s="5" t="s">
        <v>105</v>
      </c>
      <c r="B150" s="5"/>
      <c r="C150" s="15"/>
      <c r="D150" s="5"/>
      <c r="E150" s="5">
        <f t="shared" ref="E150:H150" si="61">E118</f>
        <v>13221</v>
      </c>
      <c r="F150" s="5">
        <f t="shared" si="61"/>
        <v>295119.00614084274</v>
      </c>
      <c r="G150" s="5">
        <f t="shared" si="61"/>
        <v>536259.07957018353</v>
      </c>
      <c r="H150" s="5">
        <f t="shared" si="61"/>
        <v>827219.76742634363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6.5" customHeight="1" outlineLevel="1">
      <c r="A151" s="5" t="s">
        <v>80</v>
      </c>
      <c r="B151" s="5"/>
      <c r="C151" s="15"/>
      <c r="D151" s="5"/>
      <c r="E151" s="5">
        <f t="shared" ref="E151:H151" si="62">E113</f>
        <v>6775</v>
      </c>
      <c r="F151" s="5">
        <f t="shared" si="62"/>
        <v>18155</v>
      </c>
      <c r="G151" s="5">
        <f t="shared" si="62"/>
        <v>32635</v>
      </c>
      <c r="H151" s="5">
        <f t="shared" si="62"/>
        <v>49215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6.5" customHeight="1" outlineLevel="1">
      <c r="A152" s="5" t="s">
        <v>106</v>
      </c>
      <c r="B152" s="5"/>
      <c r="C152" s="1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6.5" customHeight="1" outlineLevel="1">
      <c r="A153" s="5" t="s">
        <v>88</v>
      </c>
      <c r="B153" s="5"/>
      <c r="C153" s="15"/>
      <c r="D153" s="5"/>
      <c r="E153" s="5">
        <f>E128-C128</f>
        <v>859</v>
      </c>
      <c r="F153" s="5">
        <f t="shared" ref="F153:H153" si="63">F128-E128</f>
        <v>46316.383129112241</v>
      </c>
      <c r="G153" s="5">
        <f t="shared" si="63"/>
        <v>39228.108197764661</v>
      </c>
      <c r="H153" s="5">
        <f t="shared" si="63"/>
        <v>38998.736832290902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6.5" customHeight="1" outlineLevel="1">
      <c r="A154" s="5" t="s">
        <v>94</v>
      </c>
      <c r="B154" s="5"/>
      <c r="C154" s="15"/>
      <c r="D154" s="5"/>
      <c r="E154" s="5">
        <f>E136-C136</f>
        <v>34486</v>
      </c>
      <c r="F154" s="5">
        <f t="shared" ref="F154:H154" si="64">F136-E136</f>
        <v>-7686.6438356164399</v>
      </c>
      <c r="G154" s="5">
        <f t="shared" si="64"/>
        <v>1643.8356164383586</v>
      </c>
      <c r="H154" s="5">
        <f t="shared" si="64"/>
        <v>1643.8356164383549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6.5" customHeight="1" outlineLevel="1">
      <c r="A155" s="27" t="s">
        <v>39</v>
      </c>
      <c r="B155" s="27"/>
      <c r="C155" s="28"/>
      <c r="D155" s="27"/>
      <c r="E155" s="27">
        <f t="shared" ref="E155:H155" si="65">E150+E151-E153+E154</f>
        <v>53623</v>
      </c>
      <c r="F155" s="27">
        <f t="shared" si="65"/>
        <v>259270.97917611405</v>
      </c>
      <c r="G155" s="27">
        <f t="shared" si="65"/>
        <v>531309.80698885722</v>
      </c>
      <c r="H155" s="27">
        <f t="shared" si="65"/>
        <v>839079.86621049105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6.5" customHeight="1" outlineLevel="1">
      <c r="A156" s="5"/>
      <c r="B156" s="5"/>
      <c r="C156" s="1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6.5" customHeight="1" outlineLevel="1">
      <c r="A157" s="16" t="s">
        <v>107</v>
      </c>
      <c r="B157" s="5"/>
      <c r="C157" s="1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6.5" customHeight="1" outlineLevel="1">
      <c r="A158" s="5" t="s">
        <v>108</v>
      </c>
      <c r="B158" s="5"/>
      <c r="C158" s="15"/>
      <c r="D158" s="5"/>
      <c r="E158" s="5">
        <f t="shared" ref="E158:H158" si="66">E187</f>
        <v>19700</v>
      </c>
      <c r="F158" s="5">
        <f t="shared" si="66"/>
        <v>56900</v>
      </c>
      <c r="G158" s="5">
        <f t="shared" si="66"/>
        <v>72400</v>
      </c>
      <c r="H158" s="5">
        <f t="shared" si="66"/>
        <v>82900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6.5" customHeight="1" outlineLevel="1">
      <c r="A159" s="5" t="s">
        <v>59</v>
      </c>
      <c r="B159" s="5"/>
      <c r="C159" s="15"/>
      <c r="D159" s="5"/>
      <c r="E159" s="5">
        <f t="shared" ref="E159:H159" si="67">E83</f>
        <v>0</v>
      </c>
      <c r="F159" s="5">
        <f t="shared" si="67"/>
        <v>0</v>
      </c>
      <c r="G159" s="5">
        <f t="shared" si="67"/>
        <v>0</v>
      </c>
      <c r="H159" s="5">
        <f t="shared" si="67"/>
        <v>0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6.5" customHeight="1" outlineLevel="1">
      <c r="A160" s="27" t="s">
        <v>39</v>
      </c>
      <c r="B160" s="27"/>
      <c r="C160" s="28"/>
      <c r="D160" s="27"/>
      <c r="E160" s="27">
        <f t="shared" ref="E160:H160" si="68">SUM(E158:E159)</f>
        <v>19700</v>
      </c>
      <c r="F160" s="27">
        <f t="shared" si="68"/>
        <v>56900</v>
      </c>
      <c r="G160" s="27">
        <f t="shared" si="68"/>
        <v>72400</v>
      </c>
      <c r="H160" s="27">
        <f t="shared" si="68"/>
        <v>82900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6.5" customHeight="1" outlineLevel="1">
      <c r="A161" s="5"/>
      <c r="B161" s="5"/>
      <c r="C161" s="1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6.5" customHeight="1" outlineLevel="1">
      <c r="A162" s="16" t="s">
        <v>63</v>
      </c>
      <c r="B162" s="5"/>
      <c r="C162" s="1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6.5" customHeight="1" outlineLevel="1">
      <c r="A163" s="5" t="s">
        <v>109</v>
      </c>
      <c r="B163" s="5"/>
      <c r="C163" s="15"/>
      <c r="D163" s="5"/>
      <c r="E163" s="5">
        <f t="shared" ref="E163:F163" si="69">E138-C138</f>
        <v>0</v>
      </c>
      <c r="F163" s="5">
        <f t="shared" si="69"/>
        <v>0</v>
      </c>
      <c r="G163" s="5">
        <f t="shared" ref="G163:H163" si="70">G138-F138</f>
        <v>0</v>
      </c>
      <c r="H163" s="5">
        <f t="shared" si="70"/>
        <v>0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6.5" customHeight="1" outlineLevel="1">
      <c r="A164" s="5" t="s">
        <v>110</v>
      </c>
      <c r="B164" s="5"/>
      <c r="C164" s="15"/>
      <c r="D164" s="5"/>
      <c r="E164" s="5">
        <f>E141-D141</f>
        <v>63647</v>
      </c>
      <c r="F164" s="68">
        <v>375000</v>
      </c>
      <c r="G164" s="5">
        <f t="shared" ref="G164:H164" si="71">G141-F141</f>
        <v>0</v>
      </c>
      <c r="H164" s="5">
        <f t="shared" si="71"/>
        <v>0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6.5" customHeight="1" outlineLevel="1">
      <c r="A165" s="5" t="s">
        <v>67</v>
      </c>
      <c r="B165" s="5"/>
      <c r="C165" s="15"/>
      <c r="D165" s="5"/>
      <c r="E165" s="5">
        <f t="shared" ref="E165:H165" si="72">E120</f>
        <v>0</v>
      </c>
      <c r="F165" s="5">
        <f t="shared" si="72"/>
        <v>0</v>
      </c>
      <c r="G165" s="5">
        <f t="shared" si="72"/>
        <v>0</v>
      </c>
      <c r="H165" s="5">
        <f t="shared" si="72"/>
        <v>0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6.5" customHeight="1" outlineLevel="1">
      <c r="A166" s="27" t="s">
        <v>39</v>
      </c>
      <c r="B166" s="27"/>
      <c r="C166" s="28"/>
      <c r="D166" s="27"/>
      <c r="E166" s="27">
        <f t="shared" ref="E166:H166" si="73">E163+E164-E165</f>
        <v>63647</v>
      </c>
      <c r="F166" s="27">
        <f t="shared" si="73"/>
        <v>375000</v>
      </c>
      <c r="G166" s="27">
        <f t="shared" si="73"/>
        <v>0</v>
      </c>
      <c r="H166" s="27">
        <f t="shared" si="73"/>
        <v>0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6.5" customHeight="1" outlineLevel="1">
      <c r="A167" s="5"/>
      <c r="B167" s="5"/>
      <c r="C167" s="1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6.5" customHeight="1" outlineLevel="1">
      <c r="A168" s="5" t="s">
        <v>111</v>
      </c>
      <c r="B168" s="5"/>
      <c r="C168" s="15"/>
      <c r="D168" s="5"/>
      <c r="E168" s="5">
        <f t="shared" ref="E168:H168" si="74">E155-E160+E166</f>
        <v>97570</v>
      </c>
      <c r="F168" s="5">
        <f t="shared" si="74"/>
        <v>577370.97917611408</v>
      </c>
      <c r="G168" s="5">
        <f t="shared" si="74"/>
        <v>458909.80698885722</v>
      </c>
      <c r="H168" s="5">
        <f t="shared" si="74"/>
        <v>756179.86621049105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6.5" customHeight="1" outlineLevel="1">
      <c r="A169" s="5"/>
      <c r="B169" s="5"/>
      <c r="C169" s="1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6.5" customHeight="1" outlineLevel="1">
      <c r="A170" s="5" t="s">
        <v>112</v>
      </c>
      <c r="B170" s="5"/>
      <c r="C170" s="15"/>
      <c r="D170" s="5"/>
      <c r="E170" s="5">
        <f t="shared" ref="E170:H170" si="75">D172</f>
        <v>3244</v>
      </c>
      <c r="F170" s="5">
        <f t="shared" si="75"/>
        <v>100814</v>
      </c>
      <c r="G170" s="5">
        <f t="shared" si="75"/>
        <v>678184.97917611408</v>
      </c>
      <c r="H170" s="5">
        <f t="shared" si="75"/>
        <v>1137094.7861649713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6.5" customHeight="1" outlineLevel="1">
      <c r="A171" s="5" t="s">
        <v>113</v>
      </c>
      <c r="B171" s="5"/>
      <c r="C171" s="15"/>
      <c r="D171" s="5"/>
      <c r="E171" s="5">
        <f t="shared" ref="E171:H171" si="76">+E168</f>
        <v>97570</v>
      </c>
      <c r="F171" s="5">
        <f t="shared" si="76"/>
        <v>577370.97917611408</v>
      </c>
      <c r="G171" s="5">
        <f t="shared" si="76"/>
        <v>458909.80698885722</v>
      </c>
      <c r="H171" s="5">
        <f t="shared" si="76"/>
        <v>756179.86621049105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6.5" customHeight="1" outlineLevel="1">
      <c r="A172" s="5" t="s">
        <v>114</v>
      </c>
      <c r="B172" s="5"/>
      <c r="C172" s="15"/>
      <c r="D172" s="15">
        <v>3244</v>
      </c>
      <c r="E172" s="5">
        <f t="shared" ref="E172:H172" si="77">SUM(E170:E171)</f>
        <v>100814</v>
      </c>
      <c r="F172" s="5">
        <f t="shared" si="77"/>
        <v>678184.97917611408</v>
      </c>
      <c r="G172" s="5">
        <f t="shared" si="77"/>
        <v>1137094.7861649713</v>
      </c>
      <c r="H172" s="5">
        <f t="shared" si="77"/>
        <v>1893274.6523754625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6.5" customHeight="1" outlineLevel="1">
      <c r="A173" s="5"/>
      <c r="B173" s="5"/>
      <c r="C173" s="1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6.5" customHeight="1">
      <c r="A174" s="5"/>
      <c r="B174" s="5"/>
      <c r="C174" s="1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8.75" customHeight="1">
      <c r="A175" s="17" t="s">
        <v>115</v>
      </c>
      <c r="B175" s="17"/>
      <c r="C175" s="17"/>
      <c r="D175" s="17"/>
      <c r="E175" s="17"/>
      <c r="F175" s="17"/>
      <c r="G175" s="17"/>
      <c r="H175" s="17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</row>
    <row r="176" spans="1:28" ht="16.5" customHeight="1" outlineLevel="1">
      <c r="A176" s="5"/>
      <c r="B176" s="5"/>
      <c r="C176" s="1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6.5" customHeight="1" outlineLevel="1">
      <c r="A177" s="16" t="s">
        <v>116</v>
      </c>
      <c r="B177" s="5"/>
      <c r="C177" s="1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6.5" customHeight="1" outlineLevel="1">
      <c r="A178" s="16"/>
      <c r="B178" s="5"/>
      <c r="C178" s="1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6.5" customHeight="1" outlineLevel="1">
      <c r="A179" s="16" t="s">
        <v>117</v>
      </c>
      <c r="B179" s="5"/>
      <c r="C179" s="1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6.5" customHeight="1" outlineLevel="1">
      <c r="A180" s="5" t="s">
        <v>89</v>
      </c>
      <c r="B180" s="5"/>
      <c r="C180" s="15"/>
      <c r="D180" s="5"/>
      <c r="E180" s="5">
        <f t="shared" ref="E180:H180" si="78">D214</f>
        <v>14321</v>
      </c>
      <c r="F180" s="5">
        <f t="shared" si="78"/>
        <v>27246</v>
      </c>
      <c r="G180" s="5">
        <f t="shared" si="78"/>
        <v>61991</v>
      </c>
      <c r="H180" s="5">
        <f t="shared" si="78"/>
        <v>88756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6.5" customHeight="1" outlineLevel="1">
      <c r="A181" s="5" t="s">
        <v>58</v>
      </c>
      <c r="B181" s="5"/>
      <c r="C181" s="15"/>
      <c r="D181" s="5"/>
      <c r="E181" s="5">
        <f t="shared" ref="E181:H181" si="79">D215</f>
        <v>0</v>
      </c>
      <c r="F181" s="5">
        <f t="shared" si="79"/>
        <v>0</v>
      </c>
      <c r="G181" s="5">
        <f t="shared" si="79"/>
        <v>4000</v>
      </c>
      <c r="H181" s="5">
        <f t="shared" si="79"/>
        <v>17000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6.5" customHeight="1" outlineLevel="1">
      <c r="A182" s="27" t="s">
        <v>39</v>
      </c>
      <c r="B182" s="27"/>
      <c r="C182" s="28"/>
      <c r="D182" s="27"/>
      <c r="E182" s="27">
        <f t="shared" ref="E182:H182" si="80">SUM(E180:E181)</f>
        <v>14321</v>
      </c>
      <c r="F182" s="27">
        <f t="shared" si="80"/>
        <v>27246</v>
      </c>
      <c r="G182" s="27">
        <f t="shared" si="80"/>
        <v>65991</v>
      </c>
      <c r="H182" s="27">
        <f t="shared" si="80"/>
        <v>105756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6.5" customHeight="1" outlineLevel="1">
      <c r="A183" s="5"/>
      <c r="B183" s="5"/>
      <c r="C183" s="1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6.5" customHeight="1" outlineLevel="1">
      <c r="A184" s="16" t="s">
        <v>118</v>
      </c>
      <c r="B184" s="5"/>
      <c r="C184" s="1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6.5" customHeight="1" outlineLevel="1">
      <c r="A185" s="5" t="s">
        <v>89</v>
      </c>
      <c r="B185" s="5"/>
      <c r="C185" s="15"/>
      <c r="D185" s="5"/>
      <c r="E185" s="5">
        <f t="shared" ref="E185:H185" si="81">E81</f>
        <v>19700</v>
      </c>
      <c r="F185" s="5">
        <f t="shared" si="81"/>
        <v>51900</v>
      </c>
      <c r="G185" s="5">
        <f t="shared" si="81"/>
        <v>54900</v>
      </c>
      <c r="H185" s="5">
        <f t="shared" si="81"/>
        <v>57900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6.5" customHeight="1" outlineLevel="1">
      <c r="A186" s="5" t="s">
        <v>58</v>
      </c>
      <c r="B186" s="5"/>
      <c r="C186" s="15"/>
      <c r="D186" s="5"/>
      <c r="E186" s="5">
        <f t="shared" ref="E186:H186" si="82">E82</f>
        <v>0</v>
      </c>
      <c r="F186" s="5">
        <f t="shared" si="82"/>
        <v>5000</v>
      </c>
      <c r="G186" s="5">
        <f t="shared" si="82"/>
        <v>17500</v>
      </c>
      <c r="H186" s="5">
        <f t="shared" si="82"/>
        <v>25000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6.5" customHeight="1" outlineLevel="1">
      <c r="A187" s="27" t="s">
        <v>39</v>
      </c>
      <c r="B187" s="27"/>
      <c r="C187" s="28"/>
      <c r="D187" s="27"/>
      <c r="E187" s="27">
        <f t="shared" ref="E187:H187" si="83">SUM(E185:E186)</f>
        <v>19700</v>
      </c>
      <c r="F187" s="27">
        <f t="shared" si="83"/>
        <v>56900</v>
      </c>
      <c r="G187" s="27">
        <f t="shared" si="83"/>
        <v>72400</v>
      </c>
      <c r="H187" s="27">
        <f t="shared" si="83"/>
        <v>82900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6.5" customHeight="1" outlineLevel="1">
      <c r="A188" s="5"/>
      <c r="B188" s="5"/>
      <c r="C188" s="1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6.5" customHeight="1" outlineLevel="1">
      <c r="A189" s="16" t="s">
        <v>12</v>
      </c>
      <c r="B189" s="5"/>
      <c r="C189" s="1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6.5" customHeight="1" outlineLevel="1">
      <c r="A190" s="5" t="s">
        <v>89</v>
      </c>
      <c r="B190" s="5"/>
      <c r="C190" s="15"/>
      <c r="D190" s="5"/>
      <c r="E190" s="5">
        <f t="shared" ref="E190:H190" si="84">+E180+E185</f>
        <v>34021</v>
      </c>
      <c r="F190" s="5">
        <f t="shared" si="84"/>
        <v>79146</v>
      </c>
      <c r="G190" s="5">
        <f t="shared" si="84"/>
        <v>116891</v>
      </c>
      <c r="H190" s="5">
        <f t="shared" si="84"/>
        <v>146656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6.5" customHeight="1" outlineLevel="1">
      <c r="A191" s="5" t="s">
        <v>58</v>
      </c>
      <c r="B191" s="5"/>
      <c r="C191" s="15"/>
      <c r="D191" s="5"/>
      <c r="E191" s="5">
        <f t="shared" ref="E191:H191" si="85">+E181+E186</f>
        <v>0</v>
      </c>
      <c r="F191" s="5">
        <f t="shared" si="85"/>
        <v>5000</v>
      </c>
      <c r="G191" s="5">
        <f t="shared" si="85"/>
        <v>21500</v>
      </c>
      <c r="H191" s="5">
        <f t="shared" si="85"/>
        <v>42000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6.5" customHeight="1" outlineLevel="1">
      <c r="A192" s="27" t="s">
        <v>39</v>
      </c>
      <c r="B192" s="27"/>
      <c r="C192" s="28"/>
      <c r="D192" s="27"/>
      <c r="E192" s="27">
        <f t="shared" ref="E192:H192" si="86">SUM(E190:E191)</f>
        <v>34021</v>
      </c>
      <c r="F192" s="27">
        <f t="shared" si="86"/>
        <v>84146</v>
      </c>
      <c r="G192" s="27">
        <f t="shared" si="86"/>
        <v>138391</v>
      </c>
      <c r="H192" s="27">
        <f t="shared" si="86"/>
        <v>188656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6.5" customHeight="1" outlineLevel="1">
      <c r="A193" s="5"/>
      <c r="B193" s="5"/>
      <c r="C193" s="1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6.5" customHeight="1" outlineLevel="1">
      <c r="A194" s="16" t="s">
        <v>80</v>
      </c>
      <c r="B194" s="5"/>
      <c r="C194" s="1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6.5" customHeight="1" outlineLevel="1">
      <c r="A195" s="16" t="s">
        <v>89</v>
      </c>
      <c r="B195" s="5"/>
      <c r="C195" s="1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6.5" customHeight="1" outlineLevel="1">
      <c r="A196" s="69">
        <v>2020</v>
      </c>
      <c r="B196" s="5"/>
      <c r="C196" s="15"/>
      <c r="D196" s="5"/>
      <c r="E196" s="5">
        <f t="shared" ref="E196:H196" si="87">IF(E$2&gt;$A196+E$86-1,0,D196)</f>
        <v>0</v>
      </c>
      <c r="F196" s="5">
        <f t="shared" si="87"/>
        <v>0</v>
      </c>
      <c r="G196" s="5">
        <f t="shared" si="87"/>
        <v>0</v>
      </c>
      <c r="H196" s="5">
        <f t="shared" si="87"/>
        <v>0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6.5" customHeight="1" outlineLevel="1">
      <c r="A197" s="70">
        <f>$E$2</f>
        <v>2021</v>
      </c>
      <c r="B197" s="5"/>
      <c r="C197" s="15"/>
      <c r="D197" s="5"/>
      <c r="E197" s="25">
        <v>6775</v>
      </c>
      <c r="F197" s="5">
        <f t="shared" ref="F197:H197" si="88">IF(F$2&gt;$A197+F$86-1,0,E197)</f>
        <v>6775</v>
      </c>
      <c r="G197" s="5">
        <f t="shared" si="88"/>
        <v>6775</v>
      </c>
      <c r="H197" s="5">
        <f t="shared" si="88"/>
        <v>6775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6.5" customHeight="1" outlineLevel="1">
      <c r="A198" s="71">
        <f>$F$2</f>
        <v>2022</v>
      </c>
      <c r="B198" s="5"/>
      <c r="C198" s="15"/>
      <c r="D198" s="5"/>
      <c r="E198" s="5"/>
      <c r="F198" s="5">
        <f>F$185/F$86</f>
        <v>10380</v>
      </c>
      <c r="G198" s="5">
        <f t="shared" ref="G198:H198" si="89">IF(G$2&gt;$A198+G$86-1,0,F198)</f>
        <v>10380</v>
      </c>
      <c r="H198" s="5">
        <f t="shared" si="89"/>
        <v>10380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6.5" customHeight="1" outlineLevel="1">
      <c r="A199" s="71">
        <f>$G$2</f>
        <v>2023</v>
      </c>
      <c r="B199" s="5"/>
      <c r="C199" s="15"/>
      <c r="D199" s="5"/>
      <c r="E199" s="5"/>
      <c r="F199" s="5"/>
      <c r="G199" s="5">
        <f>G$185/G$86</f>
        <v>10980</v>
      </c>
      <c r="H199" s="5">
        <f>IF(H$2&gt;$A199+H$86-1,0,G199)</f>
        <v>10980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6.5" customHeight="1" outlineLevel="1">
      <c r="A200" s="71">
        <f>$H$2</f>
        <v>2024</v>
      </c>
      <c r="B200" s="5"/>
      <c r="C200" s="15"/>
      <c r="D200" s="5"/>
      <c r="E200" s="5"/>
      <c r="F200" s="5"/>
      <c r="G200" s="5"/>
      <c r="H200" s="5">
        <f>H$185/H$86</f>
        <v>11580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6.5" customHeight="1" outlineLevel="1">
      <c r="A201" s="72" t="s">
        <v>12</v>
      </c>
      <c r="B201" s="27"/>
      <c r="C201" s="28"/>
      <c r="D201" s="27"/>
      <c r="E201" s="27">
        <f t="shared" ref="E201:H201" si="90">SUM(E196:E200)</f>
        <v>6775</v>
      </c>
      <c r="F201" s="27">
        <f t="shared" si="90"/>
        <v>17155</v>
      </c>
      <c r="G201" s="27">
        <f t="shared" si="90"/>
        <v>28135</v>
      </c>
      <c r="H201" s="27">
        <f t="shared" si="90"/>
        <v>39715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6.5" customHeight="1" outlineLevel="1">
      <c r="A202" s="5"/>
      <c r="B202" s="5"/>
      <c r="C202" s="1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6.5" customHeight="1" outlineLevel="1">
      <c r="A203" s="16" t="s">
        <v>58</v>
      </c>
      <c r="B203" s="5"/>
      <c r="C203" s="1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6.5" customHeight="1" outlineLevel="1">
      <c r="A204" s="70">
        <v>2020</v>
      </c>
      <c r="B204" s="5"/>
      <c r="C204" s="1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6.5" customHeight="1" outlineLevel="1">
      <c r="A205" s="70">
        <f>$E$2</f>
        <v>2021</v>
      </c>
      <c r="B205" s="5"/>
      <c r="C205" s="15"/>
      <c r="D205" s="5"/>
      <c r="E205" s="5">
        <f>E$186/E$87</f>
        <v>0</v>
      </c>
      <c r="F205" s="5">
        <f>IF(F$2&gt;A205+F$86-1,0,E205)</f>
        <v>0</v>
      </c>
      <c r="G205" s="5">
        <f t="shared" ref="G205:H205" si="91">IF(G$2&gt;$A205+G$86-1,0,F205)</f>
        <v>0</v>
      </c>
      <c r="H205" s="5">
        <f t="shared" si="91"/>
        <v>0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6.5" customHeight="1" outlineLevel="1">
      <c r="A206" s="71">
        <f>$F$2</f>
        <v>2022</v>
      </c>
      <c r="B206" s="5"/>
      <c r="C206" s="15"/>
      <c r="D206" s="5"/>
      <c r="E206" s="5"/>
      <c r="F206" s="5">
        <f>F$186/F$87</f>
        <v>1000</v>
      </c>
      <c r="G206" s="5">
        <f t="shared" ref="G206:H206" si="92">IF(G$2&gt;$A206+G$86-1,0,F206)</f>
        <v>1000</v>
      </c>
      <c r="H206" s="5">
        <f t="shared" si="92"/>
        <v>1000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6.5" customHeight="1" outlineLevel="1">
      <c r="A207" s="71">
        <f>$G$2</f>
        <v>2023</v>
      </c>
      <c r="B207" s="5"/>
      <c r="C207" s="15"/>
      <c r="D207" s="5"/>
      <c r="E207" s="5"/>
      <c r="F207" s="5"/>
      <c r="G207" s="5">
        <f>G$186/G$87</f>
        <v>3500</v>
      </c>
      <c r="H207" s="5">
        <f>IF(H$2&gt;$A207+H$86-1,0,G207)</f>
        <v>3500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6.5" customHeight="1" outlineLevel="1">
      <c r="A208" s="71">
        <f>$H$2</f>
        <v>2024</v>
      </c>
      <c r="B208" s="5"/>
      <c r="C208" s="15"/>
      <c r="D208" s="5"/>
      <c r="E208" s="5"/>
      <c r="F208" s="5"/>
      <c r="G208" s="5"/>
      <c r="H208" s="5">
        <f>H$186/H$87</f>
        <v>5000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6.5" customHeight="1" outlineLevel="1">
      <c r="A209" s="72" t="s">
        <v>12</v>
      </c>
      <c r="B209" s="27"/>
      <c r="C209" s="28"/>
      <c r="D209" s="27"/>
      <c r="E209" s="27">
        <f t="shared" ref="E209:H209" si="93">SUM(E205:E208)</f>
        <v>0</v>
      </c>
      <c r="F209" s="27">
        <f t="shared" si="93"/>
        <v>1000</v>
      </c>
      <c r="G209" s="27">
        <f t="shared" si="93"/>
        <v>4500</v>
      </c>
      <c r="H209" s="27">
        <f t="shared" si="93"/>
        <v>9500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6.5" customHeight="1" outlineLevel="1">
      <c r="A210" s="70"/>
      <c r="B210" s="5"/>
      <c r="C210" s="1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6.5" customHeight="1" outlineLevel="1">
      <c r="A211" s="70" t="s">
        <v>39</v>
      </c>
      <c r="B211" s="5"/>
      <c r="C211" s="15"/>
      <c r="D211" s="5"/>
      <c r="E211" s="5">
        <f t="shared" ref="E211:H211" si="94">+E209+E201</f>
        <v>6775</v>
      </c>
      <c r="F211" s="5">
        <f t="shared" si="94"/>
        <v>18155</v>
      </c>
      <c r="G211" s="5">
        <f t="shared" si="94"/>
        <v>32635</v>
      </c>
      <c r="H211" s="5">
        <f t="shared" si="94"/>
        <v>49215</v>
      </c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6.5" customHeight="1" outlineLevel="1">
      <c r="A212" s="5"/>
      <c r="B212" s="5"/>
      <c r="C212" s="1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6.5" customHeight="1" outlineLevel="1">
      <c r="A213" s="16" t="s">
        <v>119</v>
      </c>
      <c r="B213" s="5"/>
      <c r="C213" s="1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6.5" customHeight="1" outlineLevel="1">
      <c r="A214" s="5" t="s">
        <v>89</v>
      </c>
      <c r="B214" s="5"/>
      <c r="C214" s="15"/>
      <c r="D214" s="15">
        <v>14321</v>
      </c>
      <c r="E214" s="5">
        <f t="shared" ref="E214:H214" si="95">E190-E201</f>
        <v>27246</v>
      </c>
      <c r="F214" s="5">
        <f t="shared" si="95"/>
        <v>61991</v>
      </c>
      <c r="G214" s="5">
        <f t="shared" si="95"/>
        <v>88756</v>
      </c>
      <c r="H214" s="5">
        <f t="shared" si="95"/>
        <v>106941</v>
      </c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6.5" customHeight="1" outlineLevel="1">
      <c r="A215" s="5" t="s">
        <v>58</v>
      </c>
      <c r="B215" s="5"/>
      <c r="C215" s="15"/>
      <c r="D215" s="5"/>
      <c r="E215" s="5">
        <f t="shared" ref="E215:H215" si="96">E191-E209</f>
        <v>0</v>
      </c>
      <c r="F215" s="5">
        <f t="shared" si="96"/>
        <v>4000</v>
      </c>
      <c r="G215" s="5">
        <f t="shared" si="96"/>
        <v>17000</v>
      </c>
      <c r="H215" s="5">
        <f t="shared" si="96"/>
        <v>32500</v>
      </c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6.5" customHeight="1" outlineLevel="1">
      <c r="A216" s="27" t="s">
        <v>39</v>
      </c>
      <c r="B216" s="27"/>
      <c r="C216" s="28"/>
      <c r="D216" s="27"/>
      <c r="E216" s="27">
        <f t="shared" ref="E216:H216" si="97">SUM(E214:E215)</f>
        <v>27246</v>
      </c>
      <c r="F216" s="27">
        <f t="shared" si="97"/>
        <v>65991</v>
      </c>
      <c r="G216" s="27">
        <f t="shared" si="97"/>
        <v>105756</v>
      </c>
      <c r="H216" s="27">
        <f t="shared" si="97"/>
        <v>139441</v>
      </c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6.5" customHeight="1" outlineLevel="1">
      <c r="A217" s="5"/>
      <c r="B217" s="5"/>
      <c r="C217" s="1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6.5" customHeight="1" outlineLevel="1">
      <c r="A218" s="5"/>
      <c r="B218" s="5"/>
      <c r="C218" s="1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6.5" customHeight="1" outlineLevel="1">
      <c r="A219" s="16" t="s">
        <v>120</v>
      </c>
      <c r="B219" s="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6.5" customHeight="1" outlineLevel="1">
      <c r="A220" s="5" t="s">
        <v>117</v>
      </c>
      <c r="B220" s="5"/>
      <c r="C220" s="15"/>
      <c r="D220" s="5"/>
      <c r="E220" s="5">
        <f t="shared" ref="E220:F220" si="98">+C222</f>
        <v>0</v>
      </c>
      <c r="F220" s="5">
        <f t="shared" si="98"/>
        <v>0</v>
      </c>
      <c r="G220" s="5">
        <f t="shared" ref="G220:H220" si="99">+F222</f>
        <v>0</v>
      </c>
      <c r="H220" s="5">
        <f t="shared" si="99"/>
        <v>0</v>
      </c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6.5" customHeight="1" outlineLevel="1">
      <c r="A221" s="5" t="s">
        <v>121</v>
      </c>
      <c r="B221" s="5"/>
      <c r="C221" s="15"/>
      <c r="D221" s="5"/>
      <c r="E221" s="5">
        <f t="shared" ref="E221:H221" si="100">E91</f>
        <v>0</v>
      </c>
      <c r="F221" s="5">
        <f t="shared" si="100"/>
        <v>0</v>
      </c>
      <c r="G221" s="5">
        <f t="shared" si="100"/>
        <v>0</v>
      </c>
      <c r="H221" s="5">
        <f t="shared" si="100"/>
        <v>0</v>
      </c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6.5" customHeight="1" outlineLevel="1">
      <c r="A222" s="27" t="s">
        <v>119</v>
      </c>
      <c r="B222" s="27"/>
      <c r="C222" s="28"/>
      <c r="D222" s="27"/>
      <c r="E222" s="27">
        <f t="shared" ref="E222:H222" si="101">+E220+E221</f>
        <v>0</v>
      </c>
      <c r="F222" s="27">
        <f t="shared" si="101"/>
        <v>0</v>
      </c>
      <c r="G222" s="27">
        <f t="shared" si="101"/>
        <v>0</v>
      </c>
      <c r="H222" s="27">
        <f t="shared" si="101"/>
        <v>0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6.5" customHeight="1" outlineLevel="1">
      <c r="A223" s="5"/>
      <c r="B223" s="5"/>
      <c r="C223" s="1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6.5" customHeight="1" outlineLevel="1">
      <c r="A224" s="5" t="s">
        <v>122</v>
      </c>
      <c r="B224" s="5"/>
      <c r="C224" s="15"/>
      <c r="D224" s="5"/>
      <c r="E224" s="5">
        <f t="shared" ref="E224:H224" si="102">(E220+E222)/2*E90</f>
        <v>0</v>
      </c>
      <c r="F224" s="5">
        <f t="shared" si="102"/>
        <v>0</v>
      </c>
      <c r="G224" s="5">
        <f t="shared" si="102"/>
        <v>0</v>
      </c>
      <c r="H224" s="5">
        <f t="shared" si="102"/>
        <v>0</v>
      </c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6.5" customHeight="1" outlineLevel="1">
      <c r="A225" s="5"/>
      <c r="B225" s="5"/>
      <c r="C225" s="1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6.5" customHeight="1">
      <c r="A226" s="5"/>
      <c r="B226" s="5"/>
      <c r="C226" s="1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8.75" customHeight="1">
      <c r="A227" s="17" t="s">
        <v>123</v>
      </c>
      <c r="B227" s="17"/>
      <c r="C227" s="17"/>
      <c r="D227" s="17"/>
      <c r="E227" s="17"/>
      <c r="F227" s="17"/>
      <c r="G227" s="17"/>
      <c r="H227" s="17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1:28" ht="16.5" customHeight="1" outlineLevel="1">
      <c r="A228" s="5"/>
      <c r="B228" s="5"/>
      <c r="C228" s="1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6.5" customHeight="1" outlineLevel="1">
      <c r="A229" s="5" t="s">
        <v>124</v>
      </c>
      <c r="B229" s="5"/>
      <c r="C229" s="15"/>
      <c r="D229" s="5"/>
      <c r="E229" s="5">
        <f t="shared" ref="E229:H229" si="103">E115+E114</f>
        <v>16960</v>
      </c>
      <c r="F229" s="5">
        <f t="shared" si="103"/>
        <v>422901.83482173504</v>
      </c>
      <c r="G229" s="5">
        <f t="shared" si="103"/>
        <v>766963.66934578959</v>
      </c>
      <c r="H229" s="5">
        <f t="shared" si="103"/>
        <v>1179676.6149561489</v>
      </c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6.5" customHeight="1" outlineLevel="1">
      <c r="A230" s="5"/>
      <c r="B230" s="5"/>
      <c r="C230" s="1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6.5" customHeight="1" outlineLevel="1">
      <c r="A231" s="16" t="s">
        <v>125</v>
      </c>
      <c r="B231" s="5"/>
      <c r="C231" s="1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6.5" customHeight="1" outlineLevel="1">
      <c r="A232" s="5" t="s">
        <v>126</v>
      </c>
      <c r="B232" s="5"/>
      <c r="C232" s="15"/>
      <c r="D232" s="5"/>
      <c r="E232" s="5">
        <f t="shared" ref="E232:F232" si="104">C236</f>
        <v>0</v>
      </c>
      <c r="F232" s="5">
        <f t="shared" si="104"/>
        <v>0</v>
      </c>
      <c r="G232" s="5">
        <f t="shared" ref="G232:H232" si="105">F236</f>
        <v>0</v>
      </c>
      <c r="H232" s="5">
        <f t="shared" si="105"/>
        <v>0</v>
      </c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6.5" customHeight="1" outlineLevel="1">
      <c r="A233" s="5" t="s">
        <v>127</v>
      </c>
      <c r="B233" s="5"/>
      <c r="C233" s="15"/>
      <c r="D233" s="5"/>
      <c r="E233" s="5">
        <f t="shared" ref="E233:H233" si="106">IF(E229&lt;0,ABS(E229),0)</f>
        <v>0</v>
      </c>
      <c r="F233" s="5">
        <f t="shared" si="106"/>
        <v>0</v>
      </c>
      <c r="G233" s="5">
        <f t="shared" si="106"/>
        <v>0</v>
      </c>
      <c r="H233" s="5">
        <f t="shared" si="106"/>
        <v>0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6.5" customHeight="1" outlineLevel="1">
      <c r="A234" s="27" t="s">
        <v>12</v>
      </c>
      <c r="B234" s="27"/>
      <c r="C234" s="28"/>
      <c r="D234" s="27"/>
      <c r="E234" s="27">
        <f t="shared" ref="E234:H234" si="107">SUM(E232:E233)</f>
        <v>0</v>
      </c>
      <c r="F234" s="27">
        <f t="shared" si="107"/>
        <v>0</v>
      </c>
      <c r="G234" s="27">
        <f t="shared" si="107"/>
        <v>0</v>
      </c>
      <c r="H234" s="27">
        <f t="shared" si="107"/>
        <v>0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6.5" customHeight="1" outlineLevel="1">
      <c r="A235" s="5" t="s">
        <v>128</v>
      </c>
      <c r="B235" s="5"/>
      <c r="C235" s="15"/>
      <c r="D235" s="5"/>
      <c r="E235" s="5">
        <f t="shared" ref="E235:H235" si="108">IF(E229&gt;0,MIN(E234,E229),0)</f>
        <v>0</v>
      </c>
      <c r="F235" s="5">
        <f t="shared" si="108"/>
        <v>0</v>
      </c>
      <c r="G235" s="5">
        <f t="shared" si="108"/>
        <v>0</v>
      </c>
      <c r="H235" s="5">
        <f t="shared" si="108"/>
        <v>0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6.5" customHeight="1" outlineLevel="1">
      <c r="A236" s="27" t="s">
        <v>119</v>
      </c>
      <c r="B236" s="27"/>
      <c r="C236" s="28"/>
      <c r="D236" s="27"/>
      <c r="E236" s="27">
        <f t="shared" ref="E236:H236" si="109">E234-E235</f>
        <v>0</v>
      </c>
      <c r="F236" s="27">
        <f t="shared" si="109"/>
        <v>0</v>
      </c>
      <c r="G236" s="27">
        <f t="shared" si="109"/>
        <v>0</v>
      </c>
      <c r="H236" s="27">
        <f t="shared" si="109"/>
        <v>0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6.5" customHeight="1" outlineLevel="1">
      <c r="A237" s="5"/>
      <c r="B237" s="5"/>
      <c r="C237" s="1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6.5" customHeight="1" outlineLevel="1">
      <c r="A238" s="16" t="s">
        <v>129</v>
      </c>
      <c r="B238" s="5"/>
      <c r="C238" s="1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6.5" customHeight="1" outlineLevel="1">
      <c r="A239" s="5" t="s">
        <v>82</v>
      </c>
      <c r="B239" s="5"/>
      <c r="C239" s="15"/>
      <c r="D239" s="5"/>
      <c r="E239" s="5">
        <f t="shared" ref="E239:H239" si="110">E115</f>
        <v>15553</v>
      </c>
      <c r="F239" s="5">
        <f t="shared" si="110"/>
        <v>407060.69812530035</v>
      </c>
      <c r="G239" s="5">
        <f t="shared" si="110"/>
        <v>739667.69595887384</v>
      </c>
      <c r="H239" s="5">
        <f t="shared" si="110"/>
        <v>1140992.7826570258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6.5" customHeight="1" outlineLevel="1">
      <c r="A240" s="5" t="s">
        <v>130</v>
      </c>
      <c r="B240" s="5"/>
      <c r="C240" s="15"/>
      <c r="D240" s="5"/>
      <c r="E240" s="5">
        <f t="shared" ref="E240:H240" si="111">E114</f>
        <v>1407</v>
      </c>
      <c r="F240" s="5">
        <f t="shared" si="111"/>
        <v>15841.136696434702</v>
      </c>
      <c r="G240" s="5">
        <f t="shared" si="111"/>
        <v>27295.973386915794</v>
      </c>
      <c r="H240" s="5">
        <f t="shared" si="111"/>
        <v>38683.83229912298</v>
      </c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6.5" customHeight="1" outlineLevel="1">
      <c r="A241" s="27" t="s">
        <v>124</v>
      </c>
      <c r="B241" s="27"/>
      <c r="C241" s="28"/>
      <c r="D241" s="27"/>
      <c r="E241" s="27">
        <f t="shared" ref="E241:H241" si="112">SUM(E239:E240)</f>
        <v>16960</v>
      </c>
      <c r="F241" s="27">
        <f t="shared" si="112"/>
        <v>422901.83482173504</v>
      </c>
      <c r="G241" s="27">
        <f t="shared" si="112"/>
        <v>766963.66934578959</v>
      </c>
      <c r="H241" s="27">
        <f t="shared" si="112"/>
        <v>1179676.6149561489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6.5" customHeight="1" outlineLevel="1">
      <c r="A242" s="29" t="s">
        <v>131</v>
      </c>
      <c r="B242" s="5"/>
      <c r="C242" s="15"/>
      <c r="D242" s="5"/>
      <c r="E242" s="5">
        <f t="shared" ref="E242:H242" si="113">IF(E236&gt;0,0,(E241-E235)*E95)</f>
        <v>0</v>
      </c>
      <c r="F242" s="5">
        <f t="shared" si="113"/>
        <v>116298.00457597715</v>
      </c>
      <c r="G242" s="5">
        <f t="shared" si="113"/>
        <v>210915.00907009214</v>
      </c>
      <c r="H242" s="5">
        <f t="shared" si="113"/>
        <v>324411.06911294098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6.5" customHeight="1" outlineLevel="1">
      <c r="A243" s="29" t="s">
        <v>132</v>
      </c>
      <c r="B243" s="5"/>
      <c r="C243" s="15"/>
      <c r="D243" s="5"/>
      <c r="E243" s="5">
        <f t="shared" ref="E243:H243" si="114">E187</f>
        <v>19700</v>
      </c>
      <c r="F243" s="5">
        <f t="shared" si="114"/>
        <v>56900</v>
      </c>
      <c r="G243" s="5">
        <f t="shared" si="114"/>
        <v>72400</v>
      </c>
      <c r="H243" s="5">
        <f t="shared" si="114"/>
        <v>82900</v>
      </c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6.5" customHeight="1" outlineLevel="1">
      <c r="A244" s="29" t="s">
        <v>133</v>
      </c>
      <c r="B244" s="5"/>
      <c r="C244" s="15"/>
      <c r="D244" s="5"/>
      <c r="E244" s="5">
        <f t="shared" ref="E244:H244" si="115">E113</f>
        <v>6775</v>
      </c>
      <c r="F244" s="5">
        <f t="shared" si="115"/>
        <v>18155</v>
      </c>
      <c r="G244" s="5">
        <f t="shared" si="115"/>
        <v>32635</v>
      </c>
      <c r="H244" s="5">
        <f t="shared" si="115"/>
        <v>49215</v>
      </c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6.5" customHeight="1" outlineLevel="1">
      <c r="A245" s="29" t="s">
        <v>134</v>
      </c>
      <c r="B245" s="5"/>
      <c r="C245" s="15"/>
      <c r="D245" s="5"/>
      <c r="E245" s="5">
        <f t="shared" ref="E245:H245" si="116">E153-E154</f>
        <v>-33627</v>
      </c>
      <c r="F245" s="5">
        <f t="shared" si="116"/>
        <v>54003.026964728677</v>
      </c>
      <c r="G245" s="5">
        <f t="shared" si="116"/>
        <v>37584.272581326302</v>
      </c>
      <c r="H245" s="5">
        <f t="shared" si="116"/>
        <v>37354.901215852544</v>
      </c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6.5" customHeight="1" outlineLevel="1">
      <c r="A246" s="30" t="s">
        <v>135</v>
      </c>
      <c r="B246" s="30"/>
      <c r="C246" s="31"/>
      <c r="D246" s="30"/>
      <c r="E246" s="30">
        <f t="shared" ref="E246:H246" si="117">E241-E242-E243+E244-E245</f>
        <v>37662</v>
      </c>
      <c r="F246" s="30">
        <f t="shared" si="117"/>
        <v>213855.80328102922</v>
      </c>
      <c r="G246" s="30">
        <f t="shared" si="117"/>
        <v>478699.38769437117</v>
      </c>
      <c r="H246" s="30">
        <f t="shared" si="117"/>
        <v>784225.64462735539</v>
      </c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6.5" customHeight="1" outlineLevel="1">
      <c r="A247" s="5"/>
      <c r="B247" s="5"/>
      <c r="C247" s="1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6.5" customHeight="1" outlineLevel="1">
      <c r="A248" s="16" t="s">
        <v>136</v>
      </c>
      <c r="B248" s="5"/>
      <c r="C248" s="1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6.5" customHeight="1" outlineLevel="1">
      <c r="A249" s="5" t="s">
        <v>137</v>
      </c>
      <c r="B249" s="5"/>
      <c r="C249" s="15"/>
      <c r="D249" s="26">
        <v>0.5</v>
      </c>
      <c r="E249" s="35"/>
      <c r="F249" s="5">
        <f t="array" ref="F249">NPV(D249,F246:H246)</f>
        <v>587688.97290406749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6.5" customHeight="1" outlineLevel="1">
      <c r="A250" s="5" t="s">
        <v>138</v>
      </c>
      <c r="B250" s="5"/>
      <c r="C250" s="15"/>
      <c r="D250" s="73">
        <v>5</v>
      </c>
      <c r="E250" s="74"/>
      <c r="F250" s="5">
        <f>D250*H110</f>
        <v>6144458.0747807445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6.5" customHeight="1" outlineLevel="1">
      <c r="A251" s="5" t="s">
        <v>139</v>
      </c>
      <c r="B251" s="5"/>
      <c r="C251" s="15"/>
      <c r="D251" s="75"/>
      <c r="E251" s="75"/>
      <c r="F251" s="5">
        <f>F250/(1+D249)^(COUNTA(E2:H2))</f>
        <v>1213720.1135369372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6.5" customHeight="1" outlineLevel="1">
      <c r="A252" s="16" t="s">
        <v>140</v>
      </c>
      <c r="B252" s="16"/>
      <c r="C252" s="60"/>
      <c r="D252" s="16"/>
      <c r="E252" s="16"/>
      <c r="F252" s="30">
        <f>F249+F251</f>
        <v>1801409.0864410046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6.5" customHeight="1" outlineLevel="1">
      <c r="A253" s="29" t="s">
        <v>141</v>
      </c>
      <c r="B253" s="16"/>
      <c r="C253" s="60"/>
      <c r="D253" s="16"/>
      <c r="E253" s="16"/>
      <c r="F253" s="5">
        <f>F139</f>
        <v>28438.35616438356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6.5" customHeight="1" outlineLevel="1">
      <c r="A254" s="29" t="s">
        <v>142</v>
      </c>
      <c r="B254" s="16"/>
      <c r="C254" s="60"/>
      <c r="D254" s="16"/>
      <c r="E254" s="16"/>
      <c r="F254" s="5">
        <f>F172</f>
        <v>678184.97917611408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6.5" customHeight="1" outlineLevel="1">
      <c r="A255" s="16" t="s">
        <v>143</v>
      </c>
      <c r="B255" s="16"/>
      <c r="C255" s="60"/>
      <c r="D255" s="16"/>
      <c r="E255" s="16"/>
      <c r="F255" s="30">
        <f>F252-F253+F254</f>
        <v>2451155.7094527353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6.5" customHeight="1" outlineLevel="1">
      <c r="A256" s="16"/>
      <c r="B256" s="16"/>
      <c r="C256" s="60"/>
      <c r="D256" s="16"/>
      <c r="E256" s="16"/>
      <c r="F256" s="7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6.5" customHeight="1" outlineLevel="1">
      <c r="A257" s="16"/>
      <c r="B257" s="16"/>
      <c r="C257" s="60"/>
      <c r="D257" s="16"/>
      <c r="E257" s="16"/>
      <c r="F257" s="77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6.5" customHeight="1">
      <c r="A258" s="5"/>
      <c r="B258" s="5"/>
      <c r="C258" s="1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6.5" customHeight="1">
      <c r="A259" s="5"/>
      <c r="B259" s="5"/>
      <c r="C259" s="1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6.5" customHeight="1">
      <c r="A260" s="5"/>
      <c r="B260" s="5"/>
      <c r="C260" s="1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6.5" customHeight="1">
      <c r="A261" s="5"/>
      <c r="B261" s="5"/>
      <c r="C261" s="1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6.5" customHeight="1">
      <c r="A262" s="5"/>
      <c r="B262" s="5"/>
      <c r="C262" s="1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6.5" customHeight="1">
      <c r="A263" s="5"/>
      <c r="B263" s="5"/>
      <c r="C263" s="1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6.5" customHeight="1">
      <c r="A264" s="5"/>
      <c r="B264" s="5"/>
      <c r="C264" s="1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6.5" customHeight="1">
      <c r="A265" s="5"/>
      <c r="B265" s="5"/>
      <c r="C265" s="1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6.5" customHeight="1">
      <c r="A266" s="5"/>
      <c r="B266" s="5"/>
      <c r="C266" s="1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6.5" customHeight="1">
      <c r="A267" s="5"/>
      <c r="B267" s="5"/>
      <c r="C267" s="1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6.5" customHeight="1">
      <c r="A268" s="5"/>
      <c r="B268" s="5"/>
      <c r="C268" s="1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6.5" customHeight="1">
      <c r="A269" s="5"/>
      <c r="B269" s="5"/>
      <c r="C269" s="1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6.5" customHeight="1">
      <c r="A270" s="5"/>
      <c r="B270" s="5"/>
      <c r="C270" s="1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6.5" customHeight="1">
      <c r="A271" s="5"/>
      <c r="B271" s="5"/>
      <c r="C271" s="1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6.5" customHeight="1">
      <c r="A272" s="5"/>
      <c r="B272" s="5"/>
      <c r="C272" s="1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6.5" customHeight="1">
      <c r="A273" s="5"/>
      <c r="B273" s="5"/>
      <c r="C273" s="1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6.5" customHeight="1">
      <c r="A274" s="5"/>
      <c r="B274" s="5"/>
      <c r="C274" s="1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6.5" customHeight="1">
      <c r="A275" s="5"/>
      <c r="B275" s="5"/>
      <c r="C275" s="1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6.5" customHeight="1">
      <c r="A276" s="5"/>
      <c r="B276" s="5"/>
      <c r="C276" s="1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6.5" customHeight="1">
      <c r="A277" s="5"/>
      <c r="B277" s="5"/>
      <c r="C277" s="1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6.5" customHeight="1">
      <c r="A278" s="5"/>
      <c r="B278" s="5"/>
      <c r="C278" s="1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6.5" customHeight="1">
      <c r="A279" s="5"/>
      <c r="B279" s="5"/>
      <c r="C279" s="1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6.5" customHeight="1">
      <c r="A280" s="5"/>
      <c r="B280" s="5"/>
      <c r="C280" s="1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6.5" customHeight="1">
      <c r="A281" s="5"/>
      <c r="B281" s="5"/>
      <c r="C281" s="1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6.5" customHeight="1">
      <c r="A282" s="5"/>
      <c r="B282" s="5"/>
      <c r="C282" s="1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6.5" customHeight="1">
      <c r="A283" s="5"/>
      <c r="B283" s="5"/>
      <c r="C283" s="1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6.5" customHeight="1">
      <c r="A284" s="5"/>
      <c r="B284" s="5"/>
      <c r="C284" s="1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6.5" customHeight="1">
      <c r="A285" s="5"/>
      <c r="B285" s="5"/>
      <c r="C285" s="1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6.5" customHeight="1">
      <c r="A286" s="5"/>
      <c r="B286" s="5"/>
      <c r="C286" s="1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6.5" customHeight="1">
      <c r="A287" s="5"/>
      <c r="B287" s="5"/>
      <c r="C287" s="1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6.5" customHeight="1">
      <c r="A288" s="5"/>
      <c r="B288" s="5"/>
      <c r="C288" s="1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6.5" customHeight="1">
      <c r="A289" s="5"/>
      <c r="B289" s="5"/>
      <c r="C289" s="1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6.5" customHeight="1">
      <c r="A290" s="5"/>
      <c r="B290" s="5"/>
      <c r="C290" s="1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6.5" customHeight="1">
      <c r="A291" s="5"/>
      <c r="B291" s="5"/>
      <c r="C291" s="1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6.5" customHeight="1">
      <c r="A292" s="5"/>
      <c r="B292" s="5"/>
      <c r="C292" s="1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6.5" customHeight="1">
      <c r="A293" s="5"/>
      <c r="B293" s="5"/>
      <c r="C293" s="1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6.5" customHeight="1">
      <c r="A294" s="5"/>
      <c r="B294" s="5"/>
      <c r="C294" s="1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6.5" customHeight="1">
      <c r="A295" s="5"/>
      <c r="B295" s="5"/>
      <c r="C295" s="1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6.5" customHeight="1">
      <c r="A296" s="5"/>
      <c r="B296" s="5"/>
      <c r="C296" s="1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6.5" customHeight="1">
      <c r="A297" s="5"/>
      <c r="B297" s="5"/>
      <c r="C297" s="1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6.5" customHeight="1">
      <c r="A298" s="5"/>
      <c r="B298" s="5"/>
      <c r="C298" s="1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6.5" customHeight="1">
      <c r="A299" s="5"/>
      <c r="B299" s="5"/>
      <c r="C299" s="1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6.5" customHeight="1">
      <c r="A300" s="5"/>
      <c r="B300" s="5"/>
      <c r="C300" s="1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6.5" customHeight="1">
      <c r="A301" s="5"/>
      <c r="B301" s="5"/>
      <c r="C301" s="1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6.5" customHeight="1">
      <c r="A302" s="5"/>
      <c r="B302" s="5"/>
      <c r="C302" s="1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6.5" customHeight="1">
      <c r="A303" s="5"/>
      <c r="B303" s="5"/>
      <c r="C303" s="1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6.5" customHeight="1">
      <c r="A304" s="5"/>
      <c r="B304" s="5"/>
      <c r="C304" s="1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6.5" customHeight="1">
      <c r="A305" s="5"/>
      <c r="B305" s="5"/>
      <c r="C305" s="1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6.5" customHeight="1">
      <c r="A306" s="5"/>
      <c r="B306" s="5"/>
      <c r="C306" s="1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6.5" customHeight="1">
      <c r="A307" s="5"/>
      <c r="B307" s="5"/>
      <c r="C307" s="1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6.5" customHeight="1">
      <c r="A308" s="5"/>
      <c r="B308" s="5"/>
      <c r="C308" s="1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6.5" customHeight="1">
      <c r="A309" s="5"/>
      <c r="B309" s="5"/>
      <c r="C309" s="1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6.5" customHeight="1">
      <c r="A310" s="5"/>
      <c r="B310" s="5"/>
      <c r="C310" s="1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6.5" customHeight="1">
      <c r="A311" s="5"/>
      <c r="B311" s="5"/>
      <c r="C311" s="1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6.5" customHeight="1">
      <c r="A312" s="5"/>
      <c r="B312" s="5"/>
      <c r="C312" s="1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6.5" customHeight="1">
      <c r="A313" s="5"/>
      <c r="B313" s="5"/>
      <c r="C313" s="1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6.5" customHeight="1">
      <c r="A314" s="5"/>
      <c r="B314" s="5"/>
      <c r="C314" s="1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6.5" customHeight="1">
      <c r="A315" s="5"/>
      <c r="B315" s="5"/>
      <c r="C315" s="1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6.5" customHeight="1">
      <c r="A316" s="5"/>
      <c r="B316" s="5"/>
      <c r="C316" s="1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6.5" customHeight="1">
      <c r="A317" s="5"/>
      <c r="B317" s="5"/>
      <c r="C317" s="1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6.5" customHeight="1">
      <c r="A318" s="5"/>
      <c r="B318" s="5"/>
      <c r="C318" s="1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6.5" customHeight="1">
      <c r="A319" s="5"/>
      <c r="B319" s="5"/>
      <c r="C319" s="1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6.5" customHeight="1">
      <c r="A320" s="5"/>
      <c r="B320" s="5"/>
      <c r="C320" s="1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6.5" customHeight="1">
      <c r="A321" s="5"/>
      <c r="B321" s="5"/>
      <c r="C321" s="1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6.5" customHeight="1">
      <c r="A322" s="5"/>
      <c r="B322" s="5"/>
      <c r="C322" s="1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6.5" customHeight="1">
      <c r="A323" s="5"/>
      <c r="B323" s="5"/>
      <c r="C323" s="1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6.5" customHeight="1">
      <c r="A324" s="5"/>
      <c r="B324" s="5"/>
      <c r="C324" s="1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6.5" customHeight="1">
      <c r="A325" s="5"/>
      <c r="B325" s="5"/>
      <c r="C325" s="1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6.5" customHeight="1">
      <c r="A326" s="5"/>
      <c r="B326" s="5"/>
      <c r="C326" s="1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6.5" customHeight="1">
      <c r="A327" s="5"/>
      <c r="B327" s="5"/>
      <c r="C327" s="1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6.5" customHeight="1">
      <c r="A328" s="5"/>
      <c r="B328" s="5"/>
      <c r="C328" s="1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6.5" customHeight="1">
      <c r="A329" s="5"/>
      <c r="B329" s="5"/>
      <c r="C329" s="1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6.5" customHeight="1">
      <c r="A330" s="5"/>
      <c r="B330" s="5"/>
      <c r="C330" s="1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6.5" customHeight="1">
      <c r="A331" s="5"/>
      <c r="B331" s="5"/>
      <c r="C331" s="1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6.5" customHeight="1">
      <c r="A332" s="5"/>
      <c r="B332" s="5"/>
      <c r="C332" s="1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6.5" customHeight="1">
      <c r="A333" s="5"/>
      <c r="B333" s="5"/>
      <c r="C333" s="1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6.5" customHeight="1">
      <c r="A334" s="5"/>
      <c r="B334" s="5"/>
      <c r="C334" s="1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6.5" customHeight="1">
      <c r="A335" s="5"/>
      <c r="B335" s="5"/>
      <c r="C335" s="1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6.5" customHeight="1">
      <c r="A336" s="5"/>
      <c r="B336" s="5"/>
      <c r="C336" s="1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6.5" customHeight="1">
      <c r="A337" s="5"/>
      <c r="B337" s="5"/>
      <c r="C337" s="1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6.5" customHeight="1">
      <c r="A338" s="5"/>
      <c r="B338" s="5"/>
      <c r="C338" s="1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6.5" customHeight="1">
      <c r="A339" s="5"/>
      <c r="B339" s="5"/>
      <c r="C339" s="1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6.5" customHeight="1">
      <c r="A340" s="5"/>
      <c r="B340" s="5"/>
      <c r="C340" s="1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6.5" customHeight="1">
      <c r="A341" s="5"/>
      <c r="B341" s="5"/>
      <c r="C341" s="1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6.5" customHeight="1">
      <c r="A342" s="5"/>
      <c r="B342" s="5"/>
      <c r="C342" s="1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6.5" customHeight="1">
      <c r="A343" s="5"/>
      <c r="B343" s="5"/>
      <c r="C343" s="1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6.5" customHeight="1">
      <c r="A344" s="5"/>
      <c r="B344" s="5"/>
      <c r="C344" s="1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6.5" customHeight="1">
      <c r="A345" s="5"/>
      <c r="B345" s="5"/>
      <c r="C345" s="1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6.5" customHeight="1">
      <c r="A346" s="5"/>
      <c r="B346" s="5"/>
      <c r="C346" s="1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6.5" customHeight="1">
      <c r="A347" s="5"/>
      <c r="B347" s="5"/>
      <c r="C347" s="1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6.5" customHeight="1">
      <c r="A348" s="5"/>
      <c r="B348" s="5"/>
      <c r="C348" s="1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6.5" customHeight="1">
      <c r="A349" s="5"/>
      <c r="B349" s="5"/>
      <c r="C349" s="1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6.5" customHeight="1">
      <c r="A350" s="5"/>
      <c r="B350" s="5"/>
      <c r="C350" s="1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6.5" customHeight="1">
      <c r="A351" s="5"/>
      <c r="B351" s="5"/>
      <c r="C351" s="1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6.5" customHeight="1">
      <c r="A352" s="5"/>
      <c r="B352" s="5"/>
      <c r="C352" s="1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6.5" customHeight="1">
      <c r="A353" s="5"/>
      <c r="B353" s="5"/>
      <c r="C353" s="1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6.5" customHeight="1">
      <c r="A354" s="5"/>
      <c r="B354" s="5"/>
      <c r="C354" s="1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6.5" customHeight="1">
      <c r="A355" s="5"/>
      <c r="B355" s="5"/>
      <c r="C355" s="1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6.5" customHeight="1">
      <c r="A356" s="5"/>
      <c r="B356" s="5"/>
      <c r="C356" s="1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6.5" customHeight="1">
      <c r="A357" s="5"/>
      <c r="B357" s="5"/>
      <c r="C357" s="1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6.5" customHeight="1">
      <c r="A358" s="5"/>
      <c r="B358" s="5"/>
      <c r="C358" s="1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6.5" customHeight="1">
      <c r="A359" s="5"/>
      <c r="B359" s="5"/>
      <c r="C359" s="1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6.5" customHeight="1">
      <c r="A360" s="5"/>
      <c r="B360" s="5"/>
      <c r="C360" s="1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6.5" customHeight="1">
      <c r="A361" s="5"/>
      <c r="B361" s="5"/>
      <c r="C361" s="1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6.5" customHeight="1">
      <c r="A362" s="5"/>
      <c r="B362" s="5"/>
      <c r="C362" s="1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6.5" customHeight="1">
      <c r="A363" s="5"/>
      <c r="B363" s="5"/>
      <c r="C363" s="1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6.5" customHeight="1">
      <c r="A364" s="5"/>
      <c r="B364" s="5"/>
      <c r="C364" s="1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6.5" customHeight="1">
      <c r="A365" s="5"/>
      <c r="B365" s="5"/>
      <c r="C365" s="1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6.5" customHeight="1">
      <c r="A366" s="5"/>
      <c r="B366" s="5"/>
      <c r="C366" s="1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6.5" customHeight="1">
      <c r="A367" s="5"/>
      <c r="B367" s="5"/>
      <c r="C367" s="1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6.5" customHeight="1">
      <c r="A368" s="5"/>
      <c r="B368" s="5"/>
      <c r="C368" s="1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6.5" customHeight="1">
      <c r="A369" s="5"/>
      <c r="B369" s="5"/>
      <c r="C369" s="1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6.5" customHeight="1">
      <c r="A370" s="5"/>
      <c r="B370" s="5"/>
      <c r="C370" s="1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6.5" customHeight="1">
      <c r="A371" s="5"/>
      <c r="B371" s="5"/>
      <c r="C371" s="1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6.5" customHeight="1">
      <c r="A372" s="5"/>
      <c r="B372" s="5"/>
      <c r="C372" s="1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6.5" customHeight="1">
      <c r="A373" s="5"/>
      <c r="B373" s="5"/>
      <c r="C373" s="1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6.5" customHeight="1">
      <c r="A374" s="5"/>
      <c r="B374" s="5"/>
      <c r="C374" s="1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6.5" customHeight="1">
      <c r="A375" s="5"/>
      <c r="B375" s="5"/>
      <c r="C375" s="1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6.5" customHeight="1">
      <c r="A376" s="5"/>
      <c r="B376" s="5"/>
      <c r="C376" s="1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6.5" customHeight="1">
      <c r="A377" s="5"/>
      <c r="B377" s="5"/>
      <c r="C377" s="1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6.5" customHeight="1">
      <c r="A378" s="5"/>
      <c r="B378" s="5"/>
      <c r="C378" s="1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6.5" customHeight="1">
      <c r="A379" s="5"/>
      <c r="B379" s="5"/>
      <c r="C379" s="1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6.5" customHeight="1">
      <c r="A380" s="5"/>
      <c r="B380" s="5"/>
      <c r="C380" s="1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6.5" customHeight="1">
      <c r="A381" s="5"/>
      <c r="B381" s="5"/>
      <c r="C381" s="1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6.5" customHeight="1">
      <c r="A382" s="5"/>
      <c r="B382" s="5"/>
      <c r="C382" s="1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6.5" customHeight="1">
      <c r="A383" s="5"/>
      <c r="B383" s="5"/>
      <c r="C383" s="1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6.5" customHeight="1">
      <c r="A384" s="5"/>
      <c r="B384" s="5"/>
      <c r="C384" s="1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6.5" customHeight="1">
      <c r="A385" s="5"/>
      <c r="B385" s="5"/>
      <c r="C385" s="1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6.5" customHeight="1">
      <c r="A386" s="5"/>
      <c r="B386" s="5"/>
      <c r="C386" s="1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6.5" customHeight="1">
      <c r="A387" s="5"/>
      <c r="B387" s="5"/>
      <c r="C387" s="1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6.5" customHeight="1">
      <c r="A388" s="5"/>
      <c r="B388" s="5"/>
      <c r="C388" s="1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6.5" customHeight="1">
      <c r="A389" s="5"/>
      <c r="B389" s="5"/>
      <c r="C389" s="1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6.5" customHeight="1">
      <c r="A390" s="5"/>
      <c r="B390" s="5"/>
      <c r="C390" s="1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6.5" customHeight="1">
      <c r="A391" s="5"/>
      <c r="B391" s="5"/>
      <c r="C391" s="1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6.5" customHeight="1">
      <c r="A392" s="5"/>
      <c r="B392" s="5"/>
      <c r="C392" s="1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6.5" customHeight="1">
      <c r="A393" s="5"/>
      <c r="B393" s="5"/>
      <c r="C393" s="1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6.5" customHeight="1">
      <c r="A394" s="5"/>
      <c r="B394" s="5"/>
      <c r="C394" s="1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6.5" customHeight="1">
      <c r="A395" s="5"/>
      <c r="B395" s="5"/>
      <c r="C395" s="1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6.5" customHeight="1">
      <c r="A396" s="5"/>
      <c r="B396" s="5"/>
      <c r="C396" s="1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6.5" customHeight="1">
      <c r="A397" s="5"/>
      <c r="B397" s="5"/>
      <c r="C397" s="1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6.5" customHeight="1">
      <c r="A398" s="5"/>
      <c r="B398" s="5"/>
      <c r="C398" s="1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6.5" customHeight="1">
      <c r="A399" s="5"/>
      <c r="B399" s="5"/>
      <c r="C399" s="1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6.5" customHeight="1">
      <c r="A400" s="5"/>
      <c r="B400" s="5"/>
      <c r="C400" s="1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6.5" customHeight="1">
      <c r="A401" s="5"/>
      <c r="B401" s="5"/>
      <c r="C401" s="1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6.5" customHeight="1">
      <c r="A402" s="5"/>
      <c r="B402" s="5"/>
      <c r="C402" s="1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6.5" customHeight="1">
      <c r="A403" s="5"/>
      <c r="B403" s="5"/>
      <c r="C403" s="1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6.5" customHeight="1">
      <c r="A404" s="5"/>
      <c r="B404" s="5"/>
      <c r="C404" s="1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6.5" customHeight="1">
      <c r="A405" s="5"/>
      <c r="B405" s="5"/>
      <c r="C405" s="1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6.5" customHeight="1">
      <c r="A406" s="5"/>
      <c r="B406" s="5"/>
      <c r="C406" s="1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6.5" customHeight="1">
      <c r="A407" s="5"/>
      <c r="B407" s="5"/>
      <c r="C407" s="1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6.5" customHeight="1">
      <c r="A408" s="5"/>
      <c r="B408" s="5"/>
      <c r="C408" s="1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6.5" customHeight="1">
      <c r="A409" s="5"/>
      <c r="B409" s="5"/>
      <c r="C409" s="1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6.5" customHeight="1">
      <c r="A410" s="5"/>
      <c r="B410" s="5"/>
      <c r="C410" s="1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6.5" customHeight="1">
      <c r="A411" s="5"/>
      <c r="B411" s="5"/>
      <c r="C411" s="1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6.5" customHeight="1">
      <c r="A412" s="5"/>
      <c r="B412" s="5"/>
      <c r="C412" s="1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6.5" customHeight="1">
      <c r="A413" s="5"/>
      <c r="B413" s="5"/>
      <c r="C413" s="1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6.5" customHeight="1">
      <c r="A414" s="5"/>
      <c r="B414" s="5"/>
      <c r="C414" s="1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6.5" customHeight="1">
      <c r="A415" s="5"/>
      <c r="B415" s="5"/>
      <c r="C415" s="1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6.5" customHeight="1">
      <c r="A416" s="5"/>
      <c r="B416" s="5"/>
      <c r="C416" s="1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6.5" customHeight="1">
      <c r="A417" s="5"/>
      <c r="B417" s="5"/>
      <c r="C417" s="1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6.5" customHeight="1">
      <c r="A418" s="5"/>
      <c r="B418" s="5"/>
      <c r="C418" s="1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6.5" customHeight="1">
      <c r="A419" s="5"/>
      <c r="B419" s="5"/>
      <c r="C419" s="1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6.5" customHeight="1">
      <c r="A420" s="5"/>
      <c r="B420" s="5"/>
      <c r="C420" s="1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6.5" customHeight="1">
      <c r="A421" s="5"/>
      <c r="B421" s="5"/>
      <c r="C421" s="1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6.5" customHeight="1">
      <c r="A422" s="5"/>
      <c r="B422" s="5"/>
      <c r="C422" s="1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6.5" customHeight="1">
      <c r="A423" s="5"/>
      <c r="B423" s="5"/>
      <c r="C423" s="1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6.5" customHeight="1">
      <c r="A424" s="5"/>
      <c r="B424" s="5"/>
      <c r="C424" s="1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6.5" customHeight="1">
      <c r="A425" s="5"/>
      <c r="B425" s="5"/>
      <c r="C425" s="1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6.5" customHeight="1">
      <c r="A426" s="5"/>
      <c r="B426" s="5"/>
      <c r="C426" s="1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6.5" customHeight="1">
      <c r="A427" s="5"/>
      <c r="B427" s="5"/>
      <c r="C427" s="1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6.5" customHeight="1">
      <c r="A428" s="5"/>
      <c r="B428" s="5"/>
      <c r="C428" s="1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6.5" customHeight="1">
      <c r="A429" s="5"/>
      <c r="B429" s="5"/>
      <c r="C429" s="1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6.5" customHeight="1">
      <c r="A430" s="5"/>
      <c r="B430" s="5"/>
      <c r="C430" s="1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6.5" customHeight="1">
      <c r="A431" s="5"/>
      <c r="B431" s="5"/>
      <c r="C431" s="1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6.5" customHeight="1">
      <c r="A432" s="5"/>
      <c r="B432" s="5"/>
      <c r="C432" s="1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6.5" customHeight="1">
      <c r="A433" s="5"/>
      <c r="B433" s="5"/>
      <c r="C433" s="1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6.5" customHeight="1">
      <c r="A434" s="5"/>
      <c r="B434" s="5"/>
      <c r="C434" s="1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6.5" customHeight="1">
      <c r="A435" s="5"/>
      <c r="B435" s="5"/>
      <c r="C435" s="1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6.5" customHeight="1">
      <c r="A436" s="5"/>
      <c r="B436" s="5"/>
      <c r="C436" s="1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6.5" customHeight="1">
      <c r="A437" s="5"/>
      <c r="B437" s="5"/>
      <c r="C437" s="1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6.5" customHeight="1">
      <c r="A438" s="5"/>
      <c r="B438" s="5"/>
      <c r="C438" s="1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6.5" customHeight="1">
      <c r="A439" s="5"/>
      <c r="B439" s="5"/>
      <c r="C439" s="1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6.5" customHeight="1">
      <c r="A440" s="5"/>
      <c r="B440" s="5"/>
      <c r="C440" s="1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6.5" customHeight="1">
      <c r="A441" s="5"/>
      <c r="B441" s="5"/>
      <c r="C441" s="1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6.5" customHeight="1">
      <c r="A442" s="5"/>
      <c r="B442" s="5"/>
      <c r="C442" s="1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6.5" customHeight="1">
      <c r="A443" s="5"/>
      <c r="B443" s="5"/>
      <c r="C443" s="1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6.5" customHeight="1">
      <c r="A444" s="5"/>
      <c r="B444" s="5"/>
      <c r="C444" s="1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6.5" customHeight="1">
      <c r="A445" s="5"/>
      <c r="B445" s="5"/>
      <c r="C445" s="1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6.5" customHeight="1">
      <c r="A446" s="5"/>
      <c r="B446" s="5"/>
      <c r="C446" s="1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6.5" customHeight="1">
      <c r="A447" s="5"/>
      <c r="B447" s="5"/>
      <c r="C447" s="1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6.5" customHeight="1">
      <c r="A448" s="5"/>
      <c r="B448" s="5"/>
      <c r="C448" s="1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6.5" customHeight="1">
      <c r="A449" s="5"/>
      <c r="B449" s="5"/>
      <c r="C449" s="1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6.5" customHeight="1">
      <c r="A450" s="5"/>
      <c r="B450" s="5"/>
      <c r="C450" s="1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6.5" customHeight="1">
      <c r="A451" s="5"/>
      <c r="B451" s="5"/>
      <c r="C451" s="1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6.5" customHeight="1">
      <c r="A452" s="5"/>
      <c r="B452" s="5"/>
      <c r="C452" s="1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6.5" customHeight="1">
      <c r="A453" s="5"/>
      <c r="B453" s="5"/>
      <c r="C453" s="1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6.5" customHeight="1">
      <c r="A454" s="5"/>
      <c r="B454" s="5"/>
      <c r="C454" s="1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6.5" customHeight="1">
      <c r="A455" s="5"/>
      <c r="B455" s="5"/>
      <c r="C455" s="1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6.5" customHeight="1">
      <c r="A456" s="5"/>
      <c r="B456" s="5"/>
      <c r="C456" s="1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6.5" customHeight="1">
      <c r="A457" s="5"/>
      <c r="B457" s="5"/>
      <c r="C457" s="1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6.5" customHeight="1">
      <c r="A458" s="5"/>
      <c r="B458" s="5"/>
      <c r="C458" s="1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6.5" customHeight="1">
      <c r="A459" s="5"/>
      <c r="B459" s="5"/>
      <c r="C459" s="1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6.5" customHeight="1">
      <c r="A460" s="5"/>
      <c r="B460" s="5"/>
      <c r="C460" s="1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6.5" customHeight="1">
      <c r="A461" s="5"/>
      <c r="B461" s="5"/>
      <c r="C461" s="1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6.5" customHeight="1">
      <c r="A462" s="5"/>
      <c r="B462" s="5"/>
      <c r="C462" s="1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6.5" customHeight="1">
      <c r="A463" s="5"/>
      <c r="B463" s="5"/>
      <c r="C463" s="1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6.5" customHeight="1">
      <c r="A464" s="5"/>
      <c r="B464" s="5"/>
      <c r="C464" s="1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6.5" customHeight="1">
      <c r="A465" s="5"/>
      <c r="B465" s="5"/>
      <c r="C465" s="1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6.5" customHeight="1">
      <c r="A466" s="5"/>
      <c r="B466" s="5"/>
      <c r="C466" s="1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6.5" customHeight="1">
      <c r="A467" s="5"/>
      <c r="B467" s="5"/>
      <c r="C467" s="1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6.5" customHeight="1">
      <c r="A468" s="5"/>
      <c r="B468" s="5"/>
      <c r="C468" s="1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6.5" customHeight="1">
      <c r="A469" s="5"/>
      <c r="B469" s="5"/>
      <c r="C469" s="1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6.5" customHeight="1">
      <c r="A470" s="5"/>
      <c r="B470" s="5"/>
      <c r="C470" s="1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6.5" customHeight="1">
      <c r="A471" s="5"/>
      <c r="B471" s="5"/>
      <c r="C471" s="1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6.5" customHeight="1">
      <c r="A472" s="5"/>
      <c r="B472" s="5"/>
      <c r="C472" s="1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6.5" customHeight="1">
      <c r="A473" s="5"/>
      <c r="B473" s="5"/>
      <c r="C473" s="1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6.5" customHeight="1">
      <c r="A474" s="5"/>
      <c r="B474" s="5"/>
      <c r="C474" s="1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6.5" customHeight="1">
      <c r="A475" s="5"/>
      <c r="B475" s="5"/>
      <c r="C475" s="1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6.5" customHeight="1">
      <c r="A476" s="5"/>
      <c r="B476" s="5"/>
      <c r="C476" s="1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6.5" customHeight="1">
      <c r="A477" s="5"/>
      <c r="B477" s="5"/>
      <c r="C477" s="1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6.5" customHeight="1">
      <c r="A478" s="5"/>
      <c r="B478" s="5"/>
      <c r="C478" s="1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6.5" customHeight="1">
      <c r="A479" s="5"/>
      <c r="B479" s="5"/>
      <c r="C479" s="1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6.5" customHeight="1">
      <c r="A480" s="5"/>
      <c r="B480" s="5"/>
      <c r="C480" s="1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6.5" customHeight="1">
      <c r="A481" s="5"/>
      <c r="B481" s="5"/>
      <c r="C481" s="1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6.5" customHeight="1">
      <c r="A482" s="5"/>
      <c r="B482" s="5"/>
      <c r="C482" s="1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6.5" customHeight="1">
      <c r="A483" s="5"/>
      <c r="B483" s="5"/>
      <c r="C483" s="1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6.5" customHeight="1">
      <c r="A484" s="5"/>
      <c r="B484" s="5"/>
      <c r="C484" s="1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6.5" customHeight="1">
      <c r="A485" s="5"/>
      <c r="B485" s="5"/>
      <c r="C485" s="1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6.5" customHeight="1">
      <c r="A486" s="5"/>
      <c r="B486" s="5"/>
      <c r="C486" s="1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6.5" customHeight="1">
      <c r="A487" s="5"/>
      <c r="B487" s="5"/>
      <c r="C487" s="1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6.5" customHeight="1">
      <c r="A488" s="5"/>
      <c r="B488" s="5"/>
      <c r="C488" s="1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6.5" customHeight="1">
      <c r="A489" s="5"/>
      <c r="B489" s="5"/>
      <c r="C489" s="1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6.5" customHeight="1">
      <c r="A490" s="5"/>
      <c r="B490" s="5"/>
      <c r="C490" s="1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6.5" customHeight="1">
      <c r="A491" s="5"/>
      <c r="B491" s="5"/>
      <c r="C491" s="1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6.5" customHeight="1">
      <c r="A492" s="5"/>
      <c r="B492" s="5"/>
      <c r="C492" s="1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6.5" customHeight="1">
      <c r="A493" s="5"/>
      <c r="B493" s="5"/>
      <c r="C493" s="1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6.5" customHeight="1">
      <c r="A494" s="5"/>
      <c r="B494" s="5"/>
      <c r="C494" s="1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6.5" customHeight="1">
      <c r="A495" s="5"/>
      <c r="B495" s="5"/>
      <c r="C495" s="1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6.5" customHeight="1">
      <c r="A496" s="5"/>
      <c r="B496" s="5"/>
      <c r="C496" s="1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6.5" customHeight="1">
      <c r="A497" s="5"/>
      <c r="B497" s="5"/>
      <c r="C497" s="1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6.5" customHeight="1">
      <c r="A498" s="5"/>
      <c r="B498" s="5"/>
      <c r="C498" s="1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6.5" customHeight="1">
      <c r="A499" s="5"/>
      <c r="B499" s="5"/>
      <c r="C499" s="1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6.5" customHeight="1">
      <c r="A500" s="5"/>
      <c r="B500" s="5"/>
      <c r="C500" s="1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6.5" customHeight="1">
      <c r="A501" s="5"/>
      <c r="B501" s="5"/>
      <c r="C501" s="1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6.5" customHeight="1">
      <c r="A502" s="5"/>
      <c r="B502" s="5"/>
      <c r="C502" s="1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6.5" customHeight="1">
      <c r="A503" s="5"/>
      <c r="B503" s="5"/>
      <c r="C503" s="1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6.5" customHeight="1">
      <c r="A504" s="5"/>
      <c r="B504" s="5"/>
      <c r="C504" s="1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6.5" customHeight="1">
      <c r="A505" s="5"/>
      <c r="B505" s="5"/>
      <c r="C505" s="1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6.5" customHeight="1">
      <c r="A506" s="5"/>
      <c r="B506" s="5"/>
      <c r="C506" s="1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6.5" customHeight="1">
      <c r="A507" s="5"/>
      <c r="B507" s="5"/>
      <c r="C507" s="1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6.5" customHeight="1">
      <c r="A508" s="5"/>
      <c r="B508" s="5"/>
      <c r="C508" s="1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6.5" customHeight="1">
      <c r="A509" s="5"/>
      <c r="B509" s="5"/>
      <c r="C509" s="1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6.5" customHeight="1">
      <c r="A510" s="5"/>
      <c r="B510" s="5"/>
      <c r="C510" s="1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6.5" customHeight="1">
      <c r="A511" s="5"/>
      <c r="B511" s="5"/>
      <c r="C511" s="1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6.5" customHeight="1">
      <c r="A512" s="5"/>
      <c r="B512" s="5"/>
      <c r="C512" s="1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6.5" customHeight="1">
      <c r="A513" s="5"/>
      <c r="B513" s="5"/>
      <c r="C513" s="1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6.5" customHeight="1">
      <c r="A514" s="5"/>
      <c r="B514" s="5"/>
      <c r="C514" s="1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6.5" customHeight="1">
      <c r="A515" s="5"/>
      <c r="B515" s="5"/>
      <c r="C515" s="1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6.5" customHeight="1">
      <c r="A516" s="5"/>
      <c r="B516" s="5"/>
      <c r="C516" s="1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6.5" customHeight="1">
      <c r="A517" s="5"/>
      <c r="B517" s="5"/>
      <c r="C517" s="1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6.5" customHeight="1">
      <c r="A518" s="5"/>
      <c r="B518" s="5"/>
      <c r="C518" s="1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6.5" customHeight="1">
      <c r="A519" s="5"/>
      <c r="B519" s="5"/>
      <c r="C519" s="1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6.5" customHeight="1">
      <c r="A520" s="5"/>
      <c r="B520" s="5"/>
      <c r="C520" s="1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6.5" customHeight="1">
      <c r="A521" s="5"/>
      <c r="B521" s="5"/>
      <c r="C521" s="1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6.5" customHeight="1">
      <c r="A522" s="5"/>
      <c r="B522" s="5"/>
      <c r="C522" s="1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6.5" customHeight="1">
      <c r="A523" s="5"/>
      <c r="B523" s="5"/>
      <c r="C523" s="1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6.5" customHeight="1">
      <c r="A524" s="5"/>
      <c r="B524" s="5"/>
      <c r="C524" s="1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6.5" customHeight="1">
      <c r="A525" s="5"/>
      <c r="B525" s="5"/>
      <c r="C525" s="1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6.5" customHeight="1">
      <c r="A526" s="5"/>
      <c r="B526" s="5"/>
      <c r="C526" s="1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6.5" customHeight="1">
      <c r="A527" s="5"/>
      <c r="B527" s="5"/>
      <c r="C527" s="1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6.5" customHeight="1">
      <c r="A528" s="5"/>
      <c r="B528" s="5"/>
      <c r="C528" s="1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6.5" customHeight="1">
      <c r="A529" s="5"/>
      <c r="B529" s="5"/>
      <c r="C529" s="1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6.5" customHeight="1">
      <c r="A530" s="5"/>
      <c r="B530" s="5"/>
      <c r="C530" s="1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6.5" customHeight="1">
      <c r="A531" s="5"/>
      <c r="B531" s="5"/>
      <c r="C531" s="1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6.5" customHeight="1">
      <c r="A532" s="5"/>
      <c r="B532" s="5"/>
      <c r="C532" s="1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6.5" customHeight="1">
      <c r="A533" s="5"/>
      <c r="B533" s="5"/>
      <c r="C533" s="1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6.5" customHeight="1">
      <c r="A534" s="5"/>
      <c r="B534" s="5"/>
      <c r="C534" s="1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6.5" customHeight="1">
      <c r="A535" s="5"/>
      <c r="B535" s="5"/>
      <c r="C535" s="1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6.5" customHeight="1">
      <c r="A536" s="5"/>
      <c r="B536" s="5"/>
      <c r="C536" s="1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6.5" customHeight="1">
      <c r="A537" s="5"/>
      <c r="B537" s="5"/>
      <c r="C537" s="1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6.5" customHeight="1">
      <c r="A538" s="5"/>
      <c r="B538" s="5"/>
      <c r="C538" s="1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6.5" customHeight="1">
      <c r="A539" s="5"/>
      <c r="B539" s="5"/>
      <c r="C539" s="1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6.5" customHeight="1">
      <c r="A540" s="5"/>
      <c r="B540" s="5"/>
      <c r="C540" s="1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6.5" customHeight="1">
      <c r="A541" s="5"/>
      <c r="B541" s="5"/>
      <c r="C541" s="1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6.5" customHeight="1">
      <c r="A542" s="5"/>
      <c r="B542" s="5"/>
      <c r="C542" s="1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6.5" customHeight="1">
      <c r="A543" s="5"/>
      <c r="B543" s="5"/>
      <c r="C543" s="1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6.5" customHeight="1">
      <c r="A544" s="5"/>
      <c r="B544" s="5"/>
      <c r="C544" s="1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6.5" customHeight="1">
      <c r="A545" s="5"/>
      <c r="B545" s="5"/>
      <c r="C545" s="1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6.5" customHeight="1">
      <c r="A546" s="5"/>
      <c r="B546" s="5"/>
      <c r="C546" s="1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6.5" customHeight="1">
      <c r="A547" s="5"/>
      <c r="B547" s="5"/>
      <c r="C547" s="1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6.5" customHeight="1">
      <c r="A548" s="5"/>
      <c r="B548" s="5"/>
      <c r="C548" s="1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6.5" customHeight="1">
      <c r="A549" s="5"/>
      <c r="B549" s="5"/>
      <c r="C549" s="1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6.5" customHeight="1">
      <c r="A550" s="5"/>
      <c r="B550" s="5"/>
      <c r="C550" s="1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6.5" customHeight="1">
      <c r="A551" s="5"/>
      <c r="B551" s="5"/>
      <c r="C551" s="1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6.5" customHeight="1">
      <c r="A552" s="5"/>
      <c r="B552" s="5"/>
      <c r="C552" s="1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6.5" customHeight="1">
      <c r="A553" s="5"/>
      <c r="B553" s="5"/>
      <c r="C553" s="1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6.5" customHeight="1">
      <c r="A554" s="5"/>
      <c r="B554" s="5"/>
      <c r="C554" s="1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6.5" customHeight="1">
      <c r="A555" s="5"/>
      <c r="B555" s="5"/>
      <c r="C555" s="1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6.5" customHeight="1">
      <c r="A556" s="5"/>
      <c r="B556" s="5"/>
      <c r="C556" s="1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6.5" customHeight="1">
      <c r="A557" s="5"/>
      <c r="B557" s="5"/>
      <c r="C557" s="1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6.5" customHeight="1">
      <c r="A558" s="5"/>
      <c r="B558" s="5"/>
      <c r="C558" s="1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6.5" customHeight="1">
      <c r="A559" s="5"/>
      <c r="B559" s="5"/>
      <c r="C559" s="1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6.5" customHeight="1">
      <c r="A560" s="5"/>
      <c r="B560" s="5"/>
      <c r="C560" s="1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6.5" customHeight="1">
      <c r="A561" s="5"/>
      <c r="B561" s="5"/>
      <c r="C561" s="1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6.5" customHeight="1">
      <c r="A562" s="5"/>
      <c r="B562" s="5"/>
      <c r="C562" s="1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6.5" customHeight="1">
      <c r="A563" s="5"/>
      <c r="B563" s="5"/>
      <c r="C563" s="1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6.5" customHeight="1">
      <c r="A564" s="5"/>
      <c r="B564" s="5"/>
      <c r="C564" s="1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6.5" customHeight="1">
      <c r="A565" s="5"/>
      <c r="B565" s="5"/>
      <c r="C565" s="1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6.5" customHeight="1">
      <c r="A566" s="5"/>
      <c r="B566" s="5"/>
      <c r="C566" s="1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6.5" customHeight="1">
      <c r="A567" s="5"/>
      <c r="B567" s="5"/>
      <c r="C567" s="1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6.5" customHeight="1">
      <c r="A568" s="5"/>
      <c r="B568" s="5"/>
      <c r="C568" s="1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6.5" customHeight="1">
      <c r="A569" s="5"/>
      <c r="B569" s="5"/>
      <c r="C569" s="1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6.5" customHeight="1">
      <c r="A570" s="5"/>
      <c r="B570" s="5"/>
      <c r="C570" s="1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6.5" customHeight="1">
      <c r="A571" s="5"/>
      <c r="B571" s="5"/>
      <c r="C571" s="1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6.5" customHeight="1">
      <c r="A572" s="5"/>
      <c r="B572" s="5"/>
      <c r="C572" s="1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6.5" customHeight="1">
      <c r="A573" s="5"/>
      <c r="B573" s="5"/>
      <c r="C573" s="1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6.5" customHeight="1">
      <c r="A574" s="5"/>
      <c r="B574" s="5"/>
      <c r="C574" s="1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6.5" customHeight="1">
      <c r="A575" s="5"/>
      <c r="B575" s="5"/>
      <c r="C575" s="1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6.5" customHeight="1">
      <c r="A576" s="5"/>
      <c r="B576" s="5"/>
      <c r="C576" s="1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6.5" customHeight="1">
      <c r="A577" s="5"/>
      <c r="B577" s="5"/>
      <c r="C577" s="1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6.5" customHeight="1">
      <c r="A578" s="5"/>
      <c r="B578" s="5"/>
      <c r="C578" s="1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6.5" customHeight="1">
      <c r="A579" s="5"/>
      <c r="B579" s="5"/>
      <c r="C579" s="1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6.5" customHeight="1">
      <c r="A580" s="5"/>
      <c r="B580" s="5"/>
      <c r="C580" s="1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6.5" customHeight="1">
      <c r="A581" s="5"/>
      <c r="B581" s="5"/>
      <c r="C581" s="1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6.5" customHeight="1">
      <c r="A582" s="5"/>
      <c r="B582" s="5"/>
      <c r="C582" s="1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6.5" customHeight="1">
      <c r="A583" s="5"/>
      <c r="B583" s="5"/>
      <c r="C583" s="1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6.5" customHeight="1">
      <c r="A584" s="5"/>
      <c r="B584" s="5"/>
      <c r="C584" s="1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6.5" customHeight="1">
      <c r="A585" s="5"/>
      <c r="B585" s="5"/>
      <c r="C585" s="1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6.5" customHeight="1">
      <c r="A586" s="5"/>
      <c r="B586" s="5"/>
      <c r="C586" s="1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6.5" customHeight="1">
      <c r="A587" s="5"/>
      <c r="B587" s="5"/>
      <c r="C587" s="1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6.5" customHeight="1">
      <c r="A588" s="5"/>
      <c r="B588" s="5"/>
      <c r="C588" s="1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6.5" customHeight="1">
      <c r="A589" s="5"/>
      <c r="B589" s="5"/>
      <c r="C589" s="1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6.5" customHeight="1">
      <c r="A590" s="5"/>
      <c r="B590" s="5"/>
      <c r="C590" s="1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6.5" customHeight="1">
      <c r="A591" s="5"/>
      <c r="B591" s="5"/>
      <c r="C591" s="1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6.5" customHeight="1">
      <c r="A592" s="5"/>
      <c r="B592" s="5"/>
      <c r="C592" s="1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6.5" customHeight="1">
      <c r="A593" s="5"/>
      <c r="B593" s="5"/>
      <c r="C593" s="1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6.5" customHeight="1">
      <c r="A594" s="5"/>
      <c r="B594" s="5"/>
      <c r="C594" s="1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6.5" customHeight="1">
      <c r="A595" s="5"/>
      <c r="B595" s="5"/>
      <c r="C595" s="1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6.5" customHeight="1">
      <c r="A596" s="5"/>
      <c r="B596" s="5"/>
      <c r="C596" s="1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6.5" customHeight="1">
      <c r="A597" s="5"/>
      <c r="B597" s="5"/>
      <c r="C597" s="1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6.5" customHeight="1">
      <c r="A598" s="5"/>
      <c r="B598" s="5"/>
      <c r="C598" s="1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6.5" customHeight="1">
      <c r="A599" s="5"/>
      <c r="B599" s="5"/>
      <c r="C599" s="1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6.5" customHeight="1">
      <c r="A600" s="5"/>
      <c r="B600" s="5"/>
      <c r="C600" s="1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6.5" customHeight="1">
      <c r="A601" s="5"/>
      <c r="B601" s="5"/>
      <c r="C601" s="1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6.5" customHeight="1">
      <c r="A602" s="5"/>
      <c r="B602" s="5"/>
      <c r="C602" s="1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6.5" customHeight="1">
      <c r="A603" s="5"/>
      <c r="B603" s="5"/>
      <c r="C603" s="1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6.5" customHeight="1">
      <c r="A604" s="5"/>
      <c r="B604" s="5"/>
      <c r="C604" s="1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6.5" customHeight="1">
      <c r="A605" s="5"/>
      <c r="B605" s="5"/>
      <c r="C605" s="1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6.5" customHeight="1">
      <c r="A606" s="5"/>
      <c r="B606" s="5"/>
      <c r="C606" s="1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6.5" customHeight="1">
      <c r="A607" s="5"/>
      <c r="B607" s="5"/>
      <c r="C607" s="1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6.5" customHeight="1">
      <c r="A608" s="5"/>
      <c r="B608" s="5"/>
      <c r="C608" s="1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6.5" customHeight="1">
      <c r="A609" s="5"/>
      <c r="B609" s="5"/>
      <c r="C609" s="1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6.5" customHeight="1">
      <c r="A610" s="5"/>
      <c r="B610" s="5"/>
      <c r="C610" s="1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6.5" customHeight="1">
      <c r="A611" s="5"/>
      <c r="B611" s="5"/>
      <c r="C611" s="1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6.5" customHeight="1">
      <c r="A612" s="5"/>
      <c r="B612" s="5"/>
      <c r="C612" s="1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6.5" customHeight="1">
      <c r="A613" s="5"/>
      <c r="B613" s="5"/>
      <c r="C613" s="1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6.5" customHeight="1">
      <c r="A614" s="5"/>
      <c r="B614" s="5"/>
      <c r="C614" s="1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6.5" customHeight="1">
      <c r="A615" s="5"/>
      <c r="B615" s="5"/>
      <c r="C615" s="1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6.5" customHeight="1">
      <c r="A616" s="5"/>
      <c r="B616" s="5"/>
      <c r="C616" s="1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6.5" customHeight="1">
      <c r="A617" s="5"/>
      <c r="B617" s="5"/>
      <c r="C617" s="1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6.5" customHeight="1">
      <c r="A618" s="5"/>
      <c r="B618" s="5"/>
      <c r="C618" s="1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6.5" customHeight="1">
      <c r="A619" s="5"/>
      <c r="B619" s="5"/>
      <c r="C619" s="1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6.5" customHeight="1">
      <c r="A620" s="5"/>
      <c r="B620" s="5"/>
      <c r="C620" s="1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6.5" customHeight="1">
      <c r="A621" s="5"/>
      <c r="B621" s="5"/>
      <c r="C621" s="1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6.5" customHeight="1">
      <c r="A622" s="5"/>
      <c r="B622" s="5"/>
      <c r="C622" s="1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6.5" customHeight="1">
      <c r="A623" s="5"/>
      <c r="B623" s="5"/>
      <c r="C623" s="1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6.5" customHeight="1">
      <c r="A624" s="5"/>
      <c r="B624" s="5"/>
      <c r="C624" s="1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6.5" customHeight="1">
      <c r="A625" s="5"/>
      <c r="B625" s="5"/>
      <c r="C625" s="1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6.5" customHeight="1">
      <c r="A626" s="5"/>
      <c r="B626" s="5"/>
      <c r="C626" s="1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6.5" customHeight="1">
      <c r="A627" s="5"/>
      <c r="B627" s="5"/>
      <c r="C627" s="1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6.5" customHeight="1">
      <c r="A628" s="5"/>
      <c r="B628" s="5"/>
      <c r="C628" s="1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6.5" customHeight="1">
      <c r="A629" s="5"/>
      <c r="B629" s="5"/>
      <c r="C629" s="1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6.5" customHeight="1">
      <c r="A630" s="5"/>
      <c r="B630" s="5"/>
      <c r="C630" s="1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6.5" customHeight="1">
      <c r="A631" s="5"/>
      <c r="B631" s="5"/>
      <c r="C631" s="1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6.5" customHeight="1">
      <c r="A632" s="5"/>
      <c r="B632" s="5"/>
      <c r="C632" s="1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6.5" customHeight="1">
      <c r="A633" s="5"/>
      <c r="B633" s="5"/>
      <c r="C633" s="1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6.5" customHeight="1">
      <c r="A634" s="5"/>
      <c r="B634" s="5"/>
      <c r="C634" s="1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6.5" customHeight="1">
      <c r="A635" s="5"/>
      <c r="B635" s="5"/>
      <c r="C635" s="1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6.5" customHeight="1">
      <c r="A636" s="5"/>
      <c r="B636" s="5"/>
      <c r="C636" s="1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6.5" customHeight="1">
      <c r="A637" s="5"/>
      <c r="B637" s="5"/>
      <c r="C637" s="1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6.5" customHeight="1">
      <c r="A638" s="5"/>
      <c r="B638" s="5"/>
      <c r="C638" s="1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6.5" customHeight="1">
      <c r="A639" s="5"/>
      <c r="B639" s="5"/>
      <c r="C639" s="1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6.5" customHeight="1">
      <c r="A640" s="5"/>
      <c r="B640" s="5"/>
      <c r="C640" s="1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6.5" customHeight="1">
      <c r="A641" s="5"/>
      <c r="B641" s="5"/>
      <c r="C641" s="1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6.5" customHeight="1">
      <c r="A642" s="5"/>
      <c r="B642" s="5"/>
      <c r="C642" s="1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6.5" customHeight="1">
      <c r="A643" s="5"/>
      <c r="B643" s="5"/>
      <c r="C643" s="1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6.5" customHeight="1">
      <c r="A644" s="5"/>
      <c r="B644" s="5"/>
      <c r="C644" s="1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6.5" customHeight="1">
      <c r="A645" s="5"/>
      <c r="B645" s="5"/>
      <c r="C645" s="1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6.5" customHeight="1">
      <c r="A646" s="5"/>
      <c r="B646" s="5"/>
      <c r="C646" s="1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6.5" customHeight="1">
      <c r="A647" s="5"/>
      <c r="B647" s="5"/>
      <c r="C647" s="1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6.5" customHeight="1">
      <c r="A648" s="5"/>
      <c r="B648" s="5"/>
      <c r="C648" s="1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6.5" customHeight="1">
      <c r="A649" s="5"/>
      <c r="B649" s="5"/>
      <c r="C649" s="1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6.5" customHeight="1">
      <c r="A650" s="5"/>
      <c r="B650" s="5"/>
      <c r="C650" s="1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6.5" customHeight="1">
      <c r="A651" s="5"/>
      <c r="B651" s="5"/>
      <c r="C651" s="1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6.5" customHeight="1">
      <c r="A652" s="5"/>
      <c r="B652" s="5"/>
      <c r="C652" s="1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6.5" customHeight="1">
      <c r="A653" s="5"/>
      <c r="B653" s="5"/>
      <c r="C653" s="1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6.5" customHeight="1">
      <c r="A654" s="5"/>
      <c r="B654" s="5"/>
      <c r="C654" s="1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6.5" customHeight="1">
      <c r="A655" s="5"/>
      <c r="B655" s="5"/>
      <c r="C655" s="1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6.5" customHeight="1">
      <c r="A656" s="5"/>
      <c r="B656" s="5"/>
      <c r="C656" s="1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6.5" customHeight="1">
      <c r="A657" s="5"/>
      <c r="B657" s="5"/>
      <c r="C657" s="1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6.5" customHeight="1">
      <c r="A658" s="5"/>
      <c r="B658" s="5"/>
      <c r="C658" s="1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6.5" customHeight="1">
      <c r="A659" s="5"/>
      <c r="B659" s="5"/>
      <c r="C659" s="1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6.5" customHeight="1">
      <c r="A660" s="5"/>
      <c r="B660" s="5"/>
      <c r="C660" s="1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6.5" customHeight="1">
      <c r="A661" s="5"/>
      <c r="B661" s="5"/>
      <c r="C661" s="1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6.5" customHeight="1">
      <c r="A662" s="5"/>
      <c r="B662" s="5"/>
      <c r="C662" s="1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6.5" customHeight="1">
      <c r="A663" s="5"/>
      <c r="B663" s="5"/>
      <c r="C663" s="1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6.5" customHeight="1">
      <c r="A664" s="5"/>
      <c r="B664" s="5"/>
      <c r="C664" s="1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6.5" customHeight="1">
      <c r="A665" s="5"/>
      <c r="B665" s="5"/>
      <c r="C665" s="1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6.5" customHeight="1">
      <c r="A666" s="5"/>
      <c r="B666" s="5"/>
      <c r="C666" s="1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6.5" customHeight="1">
      <c r="A667" s="5"/>
      <c r="B667" s="5"/>
      <c r="C667" s="1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6.5" customHeight="1">
      <c r="A668" s="5"/>
      <c r="B668" s="5"/>
      <c r="C668" s="1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6.5" customHeight="1">
      <c r="A669" s="5"/>
      <c r="B669" s="5"/>
      <c r="C669" s="1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6.5" customHeight="1">
      <c r="A670" s="5"/>
      <c r="B670" s="5"/>
      <c r="C670" s="1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6.5" customHeight="1">
      <c r="A671" s="5"/>
      <c r="B671" s="5"/>
      <c r="C671" s="1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6.5" customHeight="1">
      <c r="A672" s="5"/>
      <c r="B672" s="5"/>
      <c r="C672" s="1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6.5" customHeight="1">
      <c r="A673" s="5"/>
      <c r="B673" s="5"/>
      <c r="C673" s="1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6.5" customHeight="1">
      <c r="A674" s="5"/>
      <c r="B674" s="5"/>
      <c r="C674" s="1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6.5" customHeight="1">
      <c r="A675" s="5"/>
      <c r="B675" s="5"/>
      <c r="C675" s="1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6.5" customHeight="1">
      <c r="A676" s="5"/>
      <c r="B676" s="5"/>
      <c r="C676" s="1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6.5" customHeight="1">
      <c r="A677" s="5"/>
      <c r="B677" s="5"/>
      <c r="C677" s="1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6.5" customHeight="1">
      <c r="A678" s="5"/>
      <c r="B678" s="5"/>
      <c r="C678" s="1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6.5" customHeight="1">
      <c r="A679" s="5"/>
      <c r="B679" s="5"/>
      <c r="C679" s="1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6.5" customHeight="1">
      <c r="A680" s="5"/>
      <c r="B680" s="5"/>
      <c r="C680" s="1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6.5" customHeight="1">
      <c r="A681" s="5"/>
      <c r="B681" s="5"/>
      <c r="C681" s="1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6.5" customHeight="1">
      <c r="A682" s="5"/>
      <c r="B682" s="5"/>
      <c r="C682" s="1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6.5" customHeight="1">
      <c r="A683" s="5"/>
      <c r="B683" s="5"/>
      <c r="C683" s="1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6.5" customHeight="1">
      <c r="A684" s="5"/>
      <c r="B684" s="5"/>
      <c r="C684" s="1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6.5" customHeight="1">
      <c r="A685" s="5"/>
      <c r="B685" s="5"/>
      <c r="C685" s="1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6.5" customHeight="1">
      <c r="A686" s="5"/>
      <c r="B686" s="5"/>
      <c r="C686" s="1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6.5" customHeight="1">
      <c r="A687" s="5"/>
      <c r="B687" s="5"/>
      <c r="C687" s="1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6.5" customHeight="1">
      <c r="A688" s="5"/>
      <c r="B688" s="5"/>
      <c r="C688" s="1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6.5" customHeight="1">
      <c r="A689" s="5"/>
      <c r="B689" s="5"/>
      <c r="C689" s="1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6.5" customHeight="1">
      <c r="A690" s="5"/>
      <c r="B690" s="5"/>
      <c r="C690" s="1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6.5" customHeight="1">
      <c r="A691" s="5"/>
      <c r="B691" s="5"/>
      <c r="C691" s="1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6.5" customHeight="1">
      <c r="A692" s="5"/>
      <c r="B692" s="5"/>
      <c r="C692" s="1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6.5" customHeight="1">
      <c r="A693" s="5"/>
      <c r="B693" s="5"/>
      <c r="C693" s="1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6.5" customHeight="1">
      <c r="A694" s="5"/>
      <c r="B694" s="5"/>
      <c r="C694" s="1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6.5" customHeight="1">
      <c r="A695" s="5"/>
      <c r="B695" s="5"/>
      <c r="C695" s="1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6.5" customHeight="1">
      <c r="A696" s="5"/>
      <c r="B696" s="5"/>
      <c r="C696" s="1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6.5" customHeight="1">
      <c r="A697" s="5"/>
      <c r="B697" s="5"/>
      <c r="C697" s="1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6.5" customHeight="1">
      <c r="A698" s="5"/>
      <c r="B698" s="5"/>
      <c r="C698" s="1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6.5" customHeight="1">
      <c r="A699" s="5"/>
      <c r="B699" s="5"/>
      <c r="C699" s="1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6.5" customHeight="1">
      <c r="A700" s="5"/>
      <c r="B700" s="5"/>
      <c r="C700" s="1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6.5" customHeight="1">
      <c r="A701" s="5"/>
      <c r="B701" s="5"/>
      <c r="C701" s="1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6.5" customHeight="1">
      <c r="A702" s="5"/>
      <c r="B702" s="5"/>
      <c r="C702" s="1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6.5" customHeight="1">
      <c r="A703" s="5"/>
      <c r="B703" s="5"/>
      <c r="C703" s="1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6.5" customHeight="1">
      <c r="A704" s="5"/>
      <c r="B704" s="5"/>
      <c r="C704" s="1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6.5" customHeight="1">
      <c r="A705" s="5"/>
      <c r="B705" s="5"/>
      <c r="C705" s="1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6.5" customHeight="1">
      <c r="A706" s="5"/>
      <c r="B706" s="5"/>
      <c r="C706" s="1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6.5" customHeight="1">
      <c r="A707" s="5"/>
      <c r="B707" s="5"/>
      <c r="C707" s="1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6.5" customHeight="1">
      <c r="A708" s="5"/>
      <c r="B708" s="5"/>
      <c r="C708" s="1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6.5" customHeight="1">
      <c r="A709" s="5"/>
      <c r="B709" s="5"/>
      <c r="C709" s="1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6.5" customHeight="1">
      <c r="A710" s="5"/>
      <c r="B710" s="5"/>
      <c r="C710" s="1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6.5" customHeight="1">
      <c r="A711" s="5"/>
      <c r="B711" s="5"/>
      <c r="C711" s="1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6.5" customHeight="1">
      <c r="A712" s="5"/>
      <c r="B712" s="5"/>
      <c r="C712" s="1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6.5" customHeight="1">
      <c r="A713" s="5"/>
      <c r="B713" s="5"/>
      <c r="C713" s="1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6.5" customHeight="1">
      <c r="A714" s="5"/>
      <c r="B714" s="5"/>
      <c r="C714" s="1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6.5" customHeight="1">
      <c r="A715" s="5"/>
      <c r="B715" s="5"/>
      <c r="C715" s="1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6.5" customHeight="1">
      <c r="A716" s="5"/>
      <c r="B716" s="5"/>
      <c r="C716" s="1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6.5" customHeight="1">
      <c r="A717" s="5"/>
      <c r="B717" s="5"/>
      <c r="C717" s="1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6.5" customHeight="1">
      <c r="A718" s="5"/>
      <c r="B718" s="5"/>
      <c r="C718" s="1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6.5" customHeight="1">
      <c r="A719" s="5"/>
      <c r="B719" s="5"/>
      <c r="C719" s="1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6.5" customHeight="1">
      <c r="A720" s="5"/>
      <c r="B720" s="5"/>
      <c r="C720" s="1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6.5" customHeight="1">
      <c r="A721" s="5"/>
      <c r="B721" s="5"/>
      <c r="C721" s="1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6.5" customHeight="1">
      <c r="A722" s="5"/>
      <c r="B722" s="5"/>
      <c r="C722" s="1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6.5" customHeight="1">
      <c r="A723" s="5"/>
      <c r="B723" s="5"/>
      <c r="C723" s="1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6.5" customHeight="1">
      <c r="A724" s="5"/>
      <c r="B724" s="5"/>
      <c r="C724" s="1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6.5" customHeight="1">
      <c r="A725" s="5"/>
      <c r="B725" s="5"/>
      <c r="C725" s="1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6.5" customHeight="1">
      <c r="A726" s="5"/>
      <c r="B726" s="5"/>
      <c r="C726" s="1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6.5" customHeight="1">
      <c r="A727" s="5"/>
      <c r="B727" s="5"/>
      <c r="C727" s="1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6.5" customHeight="1">
      <c r="A728" s="5"/>
      <c r="B728" s="5"/>
      <c r="C728" s="1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6.5" customHeight="1">
      <c r="A729" s="5"/>
      <c r="B729" s="5"/>
      <c r="C729" s="1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6.5" customHeight="1">
      <c r="A730" s="5"/>
      <c r="B730" s="5"/>
      <c r="C730" s="1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6.5" customHeight="1">
      <c r="A731" s="5"/>
      <c r="B731" s="5"/>
      <c r="C731" s="1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6.5" customHeight="1">
      <c r="A732" s="5"/>
      <c r="B732" s="5"/>
      <c r="C732" s="1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6.5" customHeight="1">
      <c r="A733" s="5"/>
      <c r="B733" s="5"/>
      <c r="C733" s="1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6.5" customHeight="1">
      <c r="A734" s="5"/>
      <c r="B734" s="5"/>
      <c r="C734" s="1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6.5" customHeight="1">
      <c r="A735" s="5"/>
      <c r="B735" s="5"/>
      <c r="C735" s="1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6.5" customHeight="1">
      <c r="A736" s="5"/>
      <c r="B736" s="5"/>
      <c r="C736" s="1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6.5" customHeight="1">
      <c r="A737" s="5"/>
      <c r="B737" s="5"/>
      <c r="C737" s="1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6.5" customHeight="1">
      <c r="A738" s="5"/>
      <c r="B738" s="5"/>
      <c r="C738" s="1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6.5" customHeight="1">
      <c r="A739" s="5"/>
      <c r="B739" s="5"/>
      <c r="C739" s="1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6.5" customHeight="1">
      <c r="A740" s="5"/>
      <c r="B740" s="5"/>
      <c r="C740" s="1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6.5" customHeight="1">
      <c r="A741" s="5"/>
      <c r="B741" s="5"/>
      <c r="C741" s="1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6.5" customHeight="1">
      <c r="A742" s="5"/>
      <c r="B742" s="5"/>
      <c r="C742" s="1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6.5" customHeight="1">
      <c r="A743" s="5"/>
      <c r="B743" s="5"/>
      <c r="C743" s="1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6.5" customHeight="1">
      <c r="A744" s="5"/>
      <c r="B744" s="5"/>
      <c r="C744" s="1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6.5" customHeight="1">
      <c r="A745" s="5"/>
      <c r="B745" s="5"/>
      <c r="C745" s="1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6.5" customHeight="1">
      <c r="A746" s="5"/>
      <c r="B746" s="5"/>
      <c r="C746" s="1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6.5" customHeight="1">
      <c r="A747" s="5"/>
      <c r="B747" s="5"/>
      <c r="C747" s="1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6.5" customHeight="1">
      <c r="A748" s="5"/>
      <c r="B748" s="5"/>
      <c r="C748" s="1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6.5" customHeight="1">
      <c r="A749" s="5"/>
      <c r="B749" s="5"/>
      <c r="C749" s="1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6.5" customHeight="1">
      <c r="A750" s="5"/>
      <c r="B750" s="5"/>
      <c r="C750" s="1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6.5" customHeight="1">
      <c r="A751" s="5"/>
      <c r="B751" s="5"/>
      <c r="C751" s="1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6.5" customHeight="1">
      <c r="A752" s="5"/>
      <c r="B752" s="5"/>
      <c r="C752" s="1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6.5" customHeight="1">
      <c r="A753" s="5"/>
      <c r="B753" s="5"/>
      <c r="C753" s="1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6.5" customHeight="1">
      <c r="A754" s="5"/>
      <c r="B754" s="5"/>
      <c r="C754" s="1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6.5" customHeight="1">
      <c r="A755" s="5"/>
      <c r="B755" s="5"/>
      <c r="C755" s="1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6.5" customHeight="1">
      <c r="A756" s="5"/>
      <c r="B756" s="5"/>
      <c r="C756" s="1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6.5" customHeight="1">
      <c r="A757" s="5"/>
      <c r="B757" s="5"/>
      <c r="C757" s="1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6.5" customHeight="1">
      <c r="A758" s="5"/>
      <c r="B758" s="5"/>
      <c r="C758" s="1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6.5" customHeight="1">
      <c r="A759" s="5"/>
      <c r="B759" s="5"/>
      <c r="C759" s="1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6.5" customHeight="1">
      <c r="A760" s="5"/>
      <c r="B760" s="5"/>
      <c r="C760" s="1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6.5" customHeight="1">
      <c r="A761" s="5"/>
      <c r="B761" s="5"/>
      <c r="C761" s="1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6.5" customHeight="1">
      <c r="A762" s="5"/>
      <c r="B762" s="5"/>
      <c r="C762" s="1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6.5" customHeight="1">
      <c r="A763" s="5"/>
      <c r="B763" s="5"/>
      <c r="C763" s="1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6.5" customHeight="1">
      <c r="A764" s="5"/>
      <c r="B764" s="5"/>
      <c r="C764" s="1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6.5" customHeight="1">
      <c r="A765" s="5"/>
      <c r="B765" s="5"/>
      <c r="C765" s="1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6.5" customHeight="1">
      <c r="A766" s="5"/>
      <c r="B766" s="5"/>
      <c r="C766" s="1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6.5" customHeight="1">
      <c r="A767" s="5"/>
      <c r="B767" s="5"/>
      <c r="C767" s="1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6.5" customHeight="1">
      <c r="A768" s="5"/>
      <c r="B768" s="5"/>
      <c r="C768" s="1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6.5" customHeight="1">
      <c r="A769" s="5"/>
      <c r="B769" s="5"/>
      <c r="C769" s="1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6.5" customHeight="1">
      <c r="A770" s="5"/>
      <c r="B770" s="5"/>
      <c r="C770" s="1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6.5" customHeight="1">
      <c r="A771" s="5"/>
      <c r="B771" s="5"/>
      <c r="C771" s="1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6.5" customHeight="1">
      <c r="A772" s="5"/>
      <c r="B772" s="5"/>
      <c r="C772" s="1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6.5" customHeight="1">
      <c r="A773" s="5"/>
      <c r="B773" s="5"/>
      <c r="C773" s="1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6.5" customHeight="1">
      <c r="A774" s="5"/>
      <c r="B774" s="5"/>
      <c r="C774" s="1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6.5" customHeight="1">
      <c r="A775" s="5"/>
      <c r="B775" s="5"/>
      <c r="C775" s="1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6.5" customHeight="1">
      <c r="A776" s="5"/>
      <c r="B776" s="5"/>
      <c r="C776" s="1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6.5" customHeight="1">
      <c r="A777" s="5"/>
      <c r="B777" s="5"/>
      <c r="C777" s="1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6.5" customHeight="1">
      <c r="A778" s="5"/>
      <c r="B778" s="5"/>
      <c r="C778" s="1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6.5" customHeight="1">
      <c r="A779" s="5"/>
      <c r="B779" s="5"/>
      <c r="C779" s="1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6.5" customHeight="1">
      <c r="A780" s="5"/>
      <c r="B780" s="5"/>
      <c r="C780" s="1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6.5" customHeight="1">
      <c r="A781" s="5"/>
      <c r="B781" s="5"/>
      <c r="C781" s="1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6.5" customHeight="1">
      <c r="A782" s="5"/>
      <c r="B782" s="5"/>
      <c r="C782" s="1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6.5" customHeight="1">
      <c r="A783" s="5"/>
      <c r="B783" s="5"/>
      <c r="C783" s="1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6.5" customHeight="1">
      <c r="A784" s="5"/>
      <c r="B784" s="5"/>
      <c r="C784" s="1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6.5" customHeight="1">
      <c r="A785" s="5"/>
      <c r="B785" s="5"/>
      <c r="C785" s="1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6.5" customHeight="1">
      <c r="A786" s="5"/>
      <c r="B786" s="5"/>
      <c r="C786" s="1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6.5" customHeight="1">
      <c r="A787" s="5"/>
      <c r="B787" s="5"/>
      <c r="C787" s="1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6.5" customHeight="1">
      <c r="A788" s="5"/>
      <c r="B788" s="5"/>
      <c r="C788" s="1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6.5" customHeight="1">
      <c r="A789" s="5"/>
      <c r="B789" s="5"/>
      <c r="C789" s="1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6.5" customHeight="1">
      <c r="A790" s="5"/>
      <c r="B790" s="5"/>
      <c r="C790" s="1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6.5" customHeight="1">
      <c r="A791" s="5"/>
      <c r="B791" s="5"/>
      <c r="C791" s="1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6.5" customHeight="1">
      <c r="A792" s="5"/>
      <c r="B792" s="5"/>
      <c r="C792" s="1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6.5" customHeight="1">
      <c r="A793" s="5"/>
      <c r="B793" s="5"/>
      <c r="C793" s="1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6.5" customHeight="1">
      <c r="A794" s="5"/>
      <c r="B794" s="5"/>
      <c r="C794" s="1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6.5" customHeight="1">
      <c r="A795" s="5"/>
      <c r="B795" s="5"/>
      <c r="C795" s="1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6.5" customHeight="1">
      <c r="A796" s="5"/>
      <c r="B796" s="5"/>
      <c r="C796" s="1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6.5" customHeight="1">
      <c r="A797" s="5"/>
      <c r="B797" s="5"/>
      <c r="C797" s="1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6.5" customHeight="1">
      <c r="A798" s="5"/>
      <c r="B798" s="5"/>
      <c r="C798" s="1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6.5" customHeight="1">
      <c r="A799" s="5"/>
      <c r="B799" s="5"/>
      <c r="C799" s="1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6.5" customHeight="1">
      <c r="A800" s="5"/>
      <c r="B800" s="5"/>
      <c r="C800" s="1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6.5" customHeight="1">
      <c r="A801" s="5"/>
      <c r="B801" s="5"/>
      <c r="C801" s="1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6.5" customHeight="1">
      <c r="A802" s="5"/>
      <c r="B802" s="5"/>
      <c r="C802" s="1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6.5" customHeight="1">
      <c r="A803" s="5"/>
      <c r="B803" s="5"/>
      <c r="C803" s="1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6.5" customHeight="1">
      <c r="A804" s="5"/>
      <c r="B804" s="5"/>
      <c r="C804" s="1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6.5" customHeight="1">
      <c r="A805" s="5"/>
      <c r="B805" s="5"/>
      <c r="C805" s="1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6.5" customHeight="1">
      <c r="A806" s="5"/>
      <c r="B806" s="5"/>
      <c r="C806" s="1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6.5" customHeight="1">
      <c r="A807" s="5"/>
      <c r="B807" s="5"/>
      <c r="C807" s="1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6.5" customHeight="1">
      <c r="A808" s="5"/>
      <c r="B808" s="5"/>
      <c r="C808" s="1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6.5" customHeight="1">
      <c r="A809" s="5"/>
      <c r="B809" s="5"/>
      <c r="C809" s="1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6.5" customHeight="1">
      <c r="A810" s="5"/>
      <c r="B810" s="5"/>
      <c r="C810" s="1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6.5" customHeight="1">
      <c r="A811" s="5"/>
      <c r="B811" s="5"/>
      <c r="C811" s="1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6.5" customHeight="1">
      <c r="A812" s="5"/>
      <c r="B812" s="5"/>
      <c r="C812" s="1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6.5" customHeight="1">
      <c r="A813" s="5"/>
      <c r="B813" s="5"/>
      <c r="C813" s="1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6.5" customHeight="1">
      <c r="A814" s="5"/>
      <c r="B814" s="5"/>
      <c r="C814" s="1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6.5" customHeight="1">
      <c r="A815" s="5"/>
      <c r="B815" s="5"/>
      <c r="C815" s="1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6.5" customHeight="1">
      <c r="A816" s="5"/>
      <c r="B816" s="5"/>
      <c r="C816" s="1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6.5" customHeight="1">
      <c r="A817" s="5"/>
      <c r="B817" s="5"/>
      <c r="C817" s="1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6.5" customHeight="1">
      <c r="A818" s="5"/>
      <c r="B818" s="5"/>
      <c r="C818" s="1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6.5" customHeight="1">
      <c r="A819" s="5"/>
      <c r="B819" s="5"/>
      <c r="C819" s="1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6.5" customHeight="1">
      <c r="A820" s="5"/>
      <c r="B820" s="5"/>
      <c r="C820" s="1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6.5" customHeight="1">
      <c r="A821" s="5"/>
      <c r="B821" s="5"/>
      <c r="C821" s="1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6.5" customHeight="1">
      <c r="A822" s="5"/>
      <c r="B822" s="5"/>
      <c r="C822" s="1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6.5" customHeight="1">
      <c r="A823" s="5"/>
      <c r="B823" s="5"/>
      <c r="C823" s="1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6.5" customHeight="1">
      <c r="A824" s="5"/>
      <c r="B824" s="5"/>
      <c r="C824" s="1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6.5" customHeight="1">
      <c r="A825" s="5"/>
      <c r="B825" s="5"/>
      <c r="C825" s="1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6.5" customHeight="1">
      <c r="A826" s="5"/>
      <c r="B826" s="5"/>
      <c r="C826" s="1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6.5" customHeight="1">
      <c r="A827" s="5"/>
      <c r="B827" s="5"/>
      <c r="C827" s="1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6.5" customHeight="1">
      <c r="A828" s="5"/>
      <c r="B828" s="5"/>
      <c r="C828" s="1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6.5" customHeight="1">
      <c r="A829" s="5"/>
      <c r="B829" s="5"/>
      <c r="C829" s="1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6.5" customHeight="1">
      <c r="A830" s="5"/>
      <c r="B830" s="5"/>
      <c r="C830" s="1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6.5" customHeight="1">
      <c r="A831" s="5"/>
      <c r="B831" s="5"/>
      <c r="C831" s="1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6.5" customHeight="1">
      <c r="A832" s="5"/>
      <c r="B832" s="5"/>
      <c r="C832" s="1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6.5" customHeight="1">
      <c r="A833" s="5"/>
      <c r="B833" s="5"/>
      <c r="C833" s="1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6.5" customHeight="1">
      <c r="A834" s="5"/>
      <c r="B834" s="5"/>
      <c r="C834" s="1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6.5" customHeight="1">
      <c r="A835" s="5"/>
      <c r="B835" s="5"/>
      <c r="C835" s="1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6.5" customHeight="1">
      <c r="A836" s="5"/>
      <c r="B836" s="5"/>
      <c r="C836" s="1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6.5" customHeight="1">
      <c r="A837" s="5"/>
      <c r="B837" s="5"/>
      <c r="C837" s="1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6.5" customHeight="1">
      <c r="A838" s="5"/>
      <c r="B838" s="5"/>
      <c r="C838" s="1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6.5" customHeight="1">
      <c r="A839" s="5"/>
      <c r="B839" s="5"/>
      <c r="C839" s="1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6.5" customHeight="1">
      <c r="A840" s="5"/>
      <c r="B840" s="5"/>
      <c r="C840" s="1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6.5" customHeight="1">
      <c r="A841" s="5"/>
      <c r="B841" s="5"/>
      <c r="C841" s="1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6.5" customHeight="1">
      <c r="A842" s="5"/>
      <c r="B842" s="5"/>
      <c r="C842" s="1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6.5" customHeight="1">
      <c r="A843" s="5"/>
      <c r="B843" s="5"/>
      <c r="C843" s="1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6.5" customHeight="1">
      <c r="A844" s="5"/>
      <c r="B844" s="5"/>
      <c r="C844" s="1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6.5" customHeight="1">
      <c r="A845" s="5"/>
      <c r="B845" s="5"/>
      <c r="C845" s="1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6.5" customHeight="1">
      <c r="A846" s="5"/>
      <c r="B846" s="5"/>
      <c r="C846" s="1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6.5" customHeight="1">
      <c r="A847" s="5"/>
      <c r="B847" s="5"/>
      <c r="C847" s="1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6.5" customHeight="1">
      <c r="A848" s="5"/>
      <c r="B848" s="5"/>
      <c r="C848" s="1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6.5" customHeight="1">
      <c r="A849" s="5"/>
      <c r="B849" s="5"/>
      <c r="C849" s="1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6.5" customHeight="1">
      <c r="A850" s="5"/>
      <c r="B850" s="5"/>
      <c r="C850" s="1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6.5" customHeight="1">
      <c r="A851" s="5"/>
      <c r="B851" s="5"/>
      <c r="C851" s="1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6.5" customHeight="1">
      <c r="A852" s="5"/>
      <c r="B852" s="5"/>
      <c r="C852" s="1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6.5" customHeight="1">
      <c r="A853" s="5"/>
      <c r="B853" s="5"/>
      <c r="C853" s="1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6.5" customHeight="1">
      <c r="A854" s="5"/>
      <c r="B854" s="5"/>
      <c r="C854" s="1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6.5" customHeight="1">
      <c r="A855" s="5"/>
      <c r="B855" s="5"/>
      <c r="C855" s="1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6.5" customHeight="1">
      <c r="A856" s="5"/>
      <c r="B856" s="5"/>
      <c r="C856" s="1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6.5" customHeight="1">
      <c r="A857" s="5"/>
      <c r="B857" s="5"/>
      <c r="C857" s="1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6.5" customHeight="1">
      <c r="A858" s="5"/>
      <c r="B858" s="5"/>
      <c r="C858" s="1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6.5" customHeight="1">
      <c r="A859" s="5"/>
      <c r="B859" s="5"/>
      <c r="C859" s="1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6.5" customHeight="1">
      <c r="A860" s="5"/>
      <c r="B860" s="5"/>
      <c r="C860" s="1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6.5" customHeight="1">
      <c r="A861" s="5"/>
      <c r="B861" s="5"/>
      <c r="C861" s="1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6.5" customHeight="1">
      <c r="A862" s="5"/>
      <c r="B862" s="5"/>
      <c r="C862" s="1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6.5" customHeight="1">
      <c r="A863" s="5"/>
      <c r="B863" s="5"/>
      <c r="C863" s="1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6.5" customHeight="1">
      <c r="A864" s="5"/>
      <c r="B864" s="5"/>
      <c r="C864" s="1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6.5" customHeight="1">
      <c r="A865" s="5"/>
      <c r="B865" s="5"/>
      <c r="C865" s="1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6.5" customHeight="1">
      <c r="A866" s="5"/>
      <c r="B866" s="5"/>
      <c r="C866" s="1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6.5" customHeight="1">
      <c r="A867" s="5"/>
      <c r="B867" s="5"/>
      <c r="C867" s="1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6.5" customHeight="1">
      <c r="A868" s="5"/>
      <c r="B868" s="5"/>
      <c r="C868" s="1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6.5" customHeight="1">
      <c r="A869" s="5"/>
      <c r="B869" s="5"/>
      <c r="C869" s="1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6.5" customHeight="1">
      <c r="A870" s="5"/>
      <c r="B870" s="5"/>
      <c r="C870" s="1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6.5" customHeight="1">
      <c r="A871" s="5"/>
      <c r="B871" s="5"/>
      <c r="C871" s="1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6.5" customHeight="1">
      <c r="A872" s="5"/>
      <c r="B872" s="5"/>
      <c r="C872" s="1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6.5" customHeight="1">
      <c r="A873" s="5"/>
      <c r="B873" s="5"/>
      <c r="C873" s="1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6.5" customHeight="1">
      <c r="A874" s="5"/>
      <c r="B874" s="5"/>
      <c r="C874" s="1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6.5" customHeight="1">
      <c r="A875" s="5"/>
      <c r="B875" s="5"/>
      <c r="C875" s="1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6.5" customHeight="1">
      <c r="A876" s="5"/>
      <c r="B876" s="5"/>
      <c r="C876" s="1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6.5" customHeight="1">
      <c r="A877" s="5"/>
      <c r="B877" s="5"/>
      <c r="C877" s="1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6.5" customHeight="1">
      <c r="A878" s="5"/>
      <c r="B878" s="5"/>
      <c r="C878" s="1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6.5" customHeight="1">
      <c r="A879" s="5"/>
      <c r="B879" s="5"/>
      <c r="C879" s="1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6.5" customHeight="1">
      <c r="A880" s="5"/>
      <c r="B880" s="5"/>
      <c r="C880" s="1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6.5" customHeight="1">
      <c r="A881" s="5"/>
      <c r="B881" s="5"/>
      <c r="C881" s="1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6.5" customHeight="1">
      <c r="A882" s="5"/>
      <c r="B882" s="5"/>
      <c r="C882" s="1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6.5" customHeight="1">
      <c r="A883" s="5"/>
      <c r="B883" s="5"/>
      <c r="C883" s="1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6.5" customHeight="1">
      <c r="A884" s="5"/>
      <c r="B884" s="5"/>
      <c r="C884" s="1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6.5" customHeight="1">
      <c r="A885" s="5"/>
      <c r="B885" s="5"/>
      <c r="C885" s="1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6.5" customHeight="1">
      <c r="A886" s="5"/>
      <c r="B886" s="5"/>
      <c r="C886" s="1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6.5" customHeight="1">
      <c r="A887" s="5"/>
      <c r="B887" s="5"/>
      <c r="C887" s="1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6.5" customHeight="1">
      <c r="A888" s="5"/>
      <c r="B888" s="5"/>
      <c r="C888" s="1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6.5" customHeight="1">
      <c r="A889" s="5"/>
      <c r="B889" s="5"/>
      <c r="C889" s="1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6.5" customHeight="1">
      <c r="A890" s="5"/>
      <c r="B890" s="5"/>
      <c r="C890" s="1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6.5" customHeight="1">
      <c r="A891" s="5"/>
      <c r="B891" s="5"/>
      <c r="C891" s="1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6.5" customHeight="1">
      <c r="A892" s="5"/>
      <c r="B892" s="5"/>
      <c r="C892" s="1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6.5" customHeight="1">
      <c r="A893" s="5"/>
      <c r="B893" s="5"/>
      <c r="C893" s="1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6.5" customHeight="1">
      <c r="A894" s="5"/>
      <c r="B894" s="5"/>
      <c r="C894" s="1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6.5" customHeight="1">
      <c r="A895" s="5"/>
      <c r="B895" s="5"/>
      <c r="C895" s="1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6.5" customHeight="1">
      <c r="A896" s="5"/>
      <c r="B896" s="5"/>
      <c r="C896" s="1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6.5" customHeight="1">
      <c r="A897" s="5"/>
      <c r="B897" s="5"/>
      <c r="C897" s="1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6.5" customHeight="1">
      <c r="A898" s="5"/>
      <c r="B898" s="5"/>
      <c r="C898" s="1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6.5" customHeight="1">
      <c r="A899" s="5"/>
      <c r="B899" s="5"/>
      <c r="C899" s="1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6.5" customHeight="1">
      <c r="A900" s="5"/>
      <c r="B900" s="5"/>
      <c r="C900" s="1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6.5" customHeight="1">
      <c r="A901" s="5"/>
      <c r="B901" s="5"/>
      <c r="C901" s="1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6.5" customHeight="1">
      <c r="A902" s="5"/>
      <c r="B902" s="5"/>
      <c r="C902" s="1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6.5" customHeight="1">
      <c r="A903" s="5"/>
      <c r="B903" s="5"/>
      <c r="C903" s="1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6.5" customHeight="1">
      <c r="A904" s="5"/>
      <c r="B904" s="5"/>
      <c r="C904" s="1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6.5" customHeight="1">
      <c r="A905" s="5"/>
      <c r="B905" s="5"/>
      <c r="C905" s="1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6.5" customHeight="1">
      <c r="A906" s="5"/>
      <c r="B906" s="5"/>
      <c r="C906" s="1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6.5" customHeight="1">
      <c r="A907" s="5"/>
      <c r="B907" s="5"/>
      <c r="C907" s="1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6.5" customHeight="1">
      <c r="A908" s="5"/>
      <c r="B908" s="5"/>
      <c r="C908" s="1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6.5" customHeight="1">
      <c r="A909" s="5"/>
      <c r="B909" s="5"/>
      <c r="C909" s="1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6.5" customHeight="1">
      <c r="A910" s="5"/>
      <c r="B910" s="5"/>
      <c r="C910" s="1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6.5" customHeight="1">
      <c r="A911" s="5"/>
      <c r="B911" s="5"/>
      <c r="C911" s="1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6.5" customHeight="1">
      <c r="A912" s="5"/>
      <c r="B912" s="5"/>
      <c r="C912" s="1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6.5" customHeight="1">
      <c r="A913" s="5"/>
      <c r="B913" s="5"/>
      <c r="C913" s="1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6.5" customHeight="1">
      <c r="A914" s="5"/>
      <c r="B914" s="5"/>
      <c r="C914" s="1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6.5" customHeight="1">
      <c r="A915" s="5"/>
      <c r="B915" s="5"/>
      <c r="C915" s="1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6.5" customHeight="1">
      <c r="A916" s="5"/>
      <c r="B916" s="5"/>
      <c r="C916" s="1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6.5" customHeight="1">
      <c r="A917" s="5"/>
      <c r="B917" s="5"/>
      <c r="C917" s="1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6.5" customHeight="1">
      <c r="A918" s="5"/>
      <c r="B918" s="5"/>
      <c r="C918" s="1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6.5" customHeight="1">
      <c r="A919" s="5"/>
      <c r="B919" s="5"/>
      <c r="C919" s="1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6.5" customHeight="1">
      <c r="A920" s="5"/>
      <c r="B920" s="5"/>
      <c r="C920" s="1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6.5" customHeight="1">
      <c r="A921" s="5"/>
      <c r="B921" s="5"/>
      <c r="C921" s="1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6.5" customHeight="1">
      <c r="A922" s="5"/>
      <c r="B922" s="5"/>
      <c r="C922" s="1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6.5" customHeight="1">
      <c r="A923" s="5"/>
      <c r="B923" s="5"/>
      <c r="C923" s="1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6.5" customHeight="1">
      <c r="A924" s="5"/>
      <c r="B924" s="5"/>
      <c r="C924" s="1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6.5" customHeight="1">
      <c r="A925" s="5"/>
      <c r="B925" s="5"/>
      <c r="C925" s="1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6.5" customHeight="1">
      <c r="A926" s="5"/>
      <c r="B926" s="5"/>
      <c r="C926" s="1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6.5" customHeight="1">
      <c r="A927" s="5"/>
      <c r="B927" s="5"/>
      <c r="C927" s="1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6.5" customHeight="1">
      <c r="A928" s="5"/>
      <c r="B928" s="5"/>
      <c r="C928" s="1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6.5" customHeight="1">
      <c r="A929" s="5"/>
      <c r="B929" s="5"/>
      <c r="C929" s="1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6.5" customHeight="1">
      <c r="A930" s="5"/>
      <c r="B930" s="5"/>
      <c r="C930" s="1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6.5" customHeight="1">
      <c r="A931" s="5"/>
      <c r="B931" s="5"/>
      <c r="C931" s="1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6.5" customHeight="1">
      <c r="A932" s="5"/>
      <c r="B932" s="5"/>
      <c r="C932" s="1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6.5" customHeight="1">
      <c r="A933" s="5"/>
      <c r="B933" s="5"/>
      <c r="C933" s="1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6.5" customHeight="1">
      <c r="A934" s="5"/>
      <c r="B934" s="5"/>
      <c r="C934" s="1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6.5" customHeight="1">
      <c r="A935" s="5"/>
      <c r="B935" s="5"/>
      <c r="C935" s="1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6.5" customHeight="1">
      <c r="A936" s="5"/>
      <c r="B936" s="5"/>
      <c r="C936" s="1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6.5" customHeight="1">
      <c r="A937" s="5"/>
      <c r="B937" s="5"/>
      <c r="C937" s="1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6.5" customHeight="1">
      <c r="A938" s="5"/>
      <c r="B938" s="5"/>
      <c r="C938" s="1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6.5" customHeight="1">
      <c r="A939" s="5"/>
      <c r="B939" s="5"/>
      <c r="C939" s="1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6.5" customHeight="1">
      <c r="A940" s="5"/>
      <c r="B940" s="5"/>
      <c r="C940" s="1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6.5" customHeight="1">
      <c r="A941" s="5"/>
      <c r="B941" s="5"/>
      <c r="C941" s="1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6.5" customHeight="1">
      <c r="A942" s="5"/>
      <c r="B942" s="5"/>
      <c r="C942" s="1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6.5" customHeight="1">
      <c r="A943" s="5"/>
      <c r="B943" s="5"/>
      <c r="C943" s="1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6.5" customHeight="1">
      <c r="A944" s="5"/>
      <c r="B944" s="5"/>
      <c r="C944" s="1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6.5" customHeight="1">
      <c r="A945" s="5"/>
      <c r="B945" s="5"/>
      <c r="C945" s="1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6.5" customHeight="1">
      <c r="A946" s="5"/>
      <c r="B946" s="5"/>
      <c r="C946" s="1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6.5" customHeight="1">
      <c r="A947" s="5"/>
      <c r="B947" s="5"/>
      <c r="C947" s="1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6.5" customHeight="1">
      <c r="A948" s="5"/>
      <c r="B948" s="5"/>
      <c r="C948" s="1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6.5" customHeight="1">
      <c r="A949" s="5"/>
      <c r="B949" s="5"/>
      <c r="C949" s="1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6.5" customHeight="1">
      <c r="A950" s="5"/>
      <c r="B950" s="5"/>
      <c r="C950" s="1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6.5" customHeight="1">
      <c r="A951" s="5"/>
      <c r="B951" s="5"/>
      <c r="C951" s="1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6.5" customHeight="1">
      <c r="A952" s="5"/>
      <c r="B952" s="5"/>
      <c r="C952" s="1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6.5" customHeight="1">
      <c r="A953" s="5"/>
      <c r="B953" s="5"/>
      <c r="C953" s="1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6.5" customHeight="1">
      <c r="A954" s="5"/>
      <c r="B954" s="5"/>
      <c r="C954" s="1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6.5" customHeight="1">
      <c r="A955" s="5"/>
      <c r="B955" s="5"/>
      <c r="C955" s="1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6.5" customHeight="1">
      <c r="A956" s="5"/>
      <c r="B956" s="5"/>
      <c r="C956" s="1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6.5" customHeight="1">
      <c r="A957" s="5"/>
      <c r="B957" s="5"/>
      <c r="C957" s="1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6.5" customHeight="1">
      <c r="A958" s="5"/>
      <c r="B958" s="5"/>
      <c r="C958" s="1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6.5" customHeight="1">
      <c r="A959" s="5"/>
      <c r="B959" s="5"/>
      <c r="C959" s="1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6.5" customHeight="1">
      <c r="A960" s="5"/>
      <c r="B960" s="5"/>
      <c r="C960" s="1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6.5" customHeight="1">
      <c r="A961" s="5"/>
      <c r="B961" s="5"/>
      <c r="C961" s="1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6.5" customHeight="1">
      <c r="A962" s="5"/>
      <c r="B962" s="5"/>
      <c r="C962" s="1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6.5" customHeight="1">
      <c r="A963" s="5"/>
      <c r="B963" s="5"/>
      <c r="C963" s="1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6.5" customHeight="1">
      <c r="A964" s="5"/>
      <c r="B964" s="5"/>
      <c r="C964" s="1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6.5" customHeight="1">
      <c r="A965" s="5"/>
      <c r="B965" s="5"/>
      <c r="C965" s="1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6.5" customHeight="1">
      <c r="A966" s="5"/>
      <c r="B966" s="5"/>
      <c r="C966" s="1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6.5" customHeight="1">
      <c r="A967" s="5"/>
      <c r="B967" s="5"/>
      <c r="C967" s="1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6.5" customHeight="1">
      <c r="A968" s="5"/>
      <c r="B968" s="5"/>
      <c r="C968" s="1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6.5" customHeight="1">
      <c r="A969" s="5"/>
      <c r="B969" s="5"/>
      <c r="C969" s="1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6.5" customHeight="1">
      <c r="A970" s="5"/>
      <c r="B970" s="5"/>
      <c r="C970" s="1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6.5" customHeight="1">
      <c r="A971" s="5"/>
      <c r="B971" s="5"/>
      <c r="C971" s="1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6.5" customHeight="1">
      <c r="A972" s="5"/>
      <c r="B972" s="5"/>
      <c r="C972" s="1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6.5" customHeight="1">
      <c r="A973" s="5"/>
      <c r="B973" s="5"/>
      <c r="C973" s="1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6.5" customHeight="1">
      <c r="A974" s="5"/>
      <c r="B974" s="5"/>
      <c r="C974" s="1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6.5" customHeight="1">
      <c r="A975" s="5"/>
      <c r="B975" s="5"/>
      <c r="C975" s="1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6.5" customHeight="1">
      <c r="A976" s="5"/>
      <c r="B976" s="5"/>
      <c r="C976" s="1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6.5" customHeight="1">
      <c r="A977" s="5"/>
      <c r="B977" s="5"/>
      <c r="C977" s="1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6.5" customHeight="1">
      <c r="A978" s="5"/>
      <c r="B978" s="5"/>
      <c r="C978" s="1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6.5" customHeight="1">
      <c r="A979" s="5"/>
      <c r="B979" s="5"/>
      <c r="C979" s="1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6.5" customHeight="1">
      <c r="A980" s="5"/>
      <c r="B980" s="5"/>
      <c r="C980" s="1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6.5" customHeight="1">
      <c r="A981" s="5"/>
      <c r="B981" s="5"/>
      <c r="C981" s="1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6.5" customHeight="1">
      <c r="A982" s="5"/>
      <c r="B982" s="5"/>
      <c r="C982" s="1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6.5" customHeight="1">
      <c r="A983" s="5"/>
      <c r="B983" s="5"/>
      <c r="C983" s="1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6.5" customHeight="1">
      <c r="A984" s="5"/>
      <c r="B984" s="5"/>
      <c r="C984" s="1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6.5" customHeight="1">
      <c r="A985" s="5"/>
      <c r="B985" s="5"/>
      <c r="C985" s="1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6.5" customHeight="1">
      <c r="A986" s="5"/>
      <c r="B986" s="5"/>
      <c r="C986" s="1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6.5" customHeight="1">
      <c r="A987" s="5"/>
      <c r="B987" s="5"/>
      <c r="C987" s="1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6.5" customHeight="1">
      <c r="A988" s="5"/>
      <c r="B988" s="5"/>
      <c r="C988" s="1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6.5" customHeight="1">
      <c r="A989" s="5"/>
      <c r="B989" s="5"/>
      <c r="C989" s="1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6.5" customHeight="1">
      <c r="A990" s="5"/>
      <c r="B990" s="5"/>
      <c r="C990" s="1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6.5" customHeight="1">
      <c r="A991" s="5"/>
      <c r="B991" s="5"/>
      <c r="C991" s="1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6.5" customHeight="1">
      <c r="A992" s="5"/>
      <c r="B992" s="5"/>
      <c r="C992" s="1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6.5" customHeight="1">
      <c r="A993" s="5"/>
      <c r="B993" s="5"/>
      <c r="C993" s="1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6.5" customHeight="1">
      <c r="A994" s="5"/>
      <c r="B994" s="5"/>
      <c r="C994" s="1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6.5" customHeight="1">
      <c r="A995" s="5"/>
      <c r="B995" s="5"/>
      <c r="C995" s="1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6.5" customHeight="1">
      <c r="A996" s="5"/>
      <c r="B996" s="5"/>
      <c r="C996" s="1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6.5" customHeight="1">
      <c r="A997" s="5"/>
      <c r="B997" s="5"/>
      <c r="C997" s="1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6.5" customHeight="1">
      <c r="A998" s="5"/>
      <c r="B998" s="5"/>
      <c r="C998" s="1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6.5" customHeight="1">
      <c r="A999" s="5"/>
      <c r="B999" s="5"/>
      <c r="C999" s="1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6.5" customHeight="1">
      <c r="A1000" s="5"/>
      <c r="B1000" s="5"/>
      <c r="C1000" s="1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conditionalFormatting sqref="A2:C2">
    <cfRule type="containsText" dxfId="9" priority="1" operator="containsText" text="OK">
      <formula>NOT(ISERROR(SEARCH(("OK"),(A2))))</formula>
    </cfRule>
  </conditionalFormatting>
  <conditionalFormatting sqref="A2:C2">
    <cfRule type="containsText" dxfId="8" priority="2" operator="containsText" text="ERROR">
      <formula>NOT(ISERROR(SEARCH(("ERROR"),(A2))))</formula>
    </cfRule>
  </conditionalFormatting>
  <conditionalFormatting sqref="F3:H3">
    <cfRule type="containsText" dxfId="7" priority="3" operator="containsText" text="OK">
      <formula>NOT(ISERROR(SEARCH(("OK"),(F3))))</formula>
    </cfRule>
  </conditionalFormatting>
  <conditionalFormatting sqref="F3:H3">
    <cfRule type="containsText" dxfId="6" priority="4" operator="containsText" text="ERROR">
      <formula>NOT(ISERROR(SEARCH(("ERROR"),(F3))))</formula>
    </cfRule>
  </conditionalFormatting>
  <conditionalFormatting sqref="E3">
    <cfRule type="containsText" dxfId="5" priority="5" operator="containsText" text="OK">
      <formula>NOT(ISERROR(SEARCH(("OK"),(E3))))</formula>
    </cfRule>
  </conditionalFormatting>
  <conditionalFormatting sqref="E3">
    <cfRule type="containsText" dxfId="4" priority="6" operator="containsText" text="ERROR">
      <formula>NOT(ISERROR(SEARCH(("ERROR"),(E3))))</formula>
    </cfRule>
  </conditionalFormatting>
  <pageMargins left="0.7" right="0.7" top="0.75" bottom="0.75" header="0" footer="0"/>
  <pageSetup scale="28" orientation="portrait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00"/>
  <sheetViews>
    <sheetView showGridLines="0" tabSelected="1" workbookViewId="0"/>
  </sheetViews>
  <sheetFormatPr baseColWidth="10" defaultColWidth="14.5" defaultRowHeight="15" customHeight="1"/>
  <cols>
    <col min="1" max="4" width="8.6640625" customWidth="1"/>
    <col min="5" max="8" width="14" customWidth="1"/>
    <col min="9" max="14" width="8.6640625" customWidth="1"/>
    <col min="15" max="18" width="14" customWidth="1"/>
    <col min="19" max="26" width="8.6640625" customWidth="1"/>
  </cols>
  <sheetData>
    <row r="1" spans="1:18" ht="14.25" customHeight="1">
      <c r="A1" s="3"/>
      <c r="B1" s="3"/>
      <c r="C1" s="3"/>
      <c r="D1" s="3"/>
      <c r="E1" s="4" t="s">
        <v>1</v>
      </c>
      <c r="F1" s="3"/>
      <c r="G1" s="3"/>
      <c r="H1" s="3" t="s">
        <v>2</v>
      </c>
      <c r="K1" s="3"/>
      <c r="L1" s="3"/>
      <c r="M1" s="3"/>
      <c r="N1" s="3"/>
      <c r="O1" s="4" t="s">
        <v>1</v>
      </c>
      <c r="P1" s="3"/>
      <c r="Q1" s="3"/>
      <c r="R1" s="3" t="s">
        <v>2</v>
      </c>
    </row>
    <row r="2" spans="1:18" ht="14.25" customHeight="1">
      <c r="A2" s="6"/>
      <c r="B2" s="6"/>
      <c r="C2" s="6"/>
      <c r="D2" s="7"/>
      <c r="E2" s="8">
        <v>2021</v>
      </c>
      <c r="F2" s="9">
        <v>2022</v>
      </c>
      <c r="G2" s="9">
        <v>2023</v>
      </c>
      <c r="H2" s="9">
        <v>2024</v>
      </c>
      <c r="K2" s="6"/>
      <c r="L2" s="6"/>
      <c r="M2" s="6"/>
      <c r="N2" s="7"/>
      <c r="O2" s="8">
        <v>2021</v>
      </c>
      <c r="P2" s="9">
        <v>2022</v>
      </c>
      <c r="Q2" s="9">
        <v>2023</v>
      </c>
      <c r="R2" s="9">
        <v>2024</v>
      </c>
    </row>
    <row r="3" spans="1:18" ht="14.25" customHeight="1">
      <c r="A3" s="5"/>
      <c r="B3" s="5"/>
      <c r="C3" s="15"/>
      <c r="D3" s="5"/>
      <c r="E3" s="5"/>
      <c r="F3" s="5"/>
      <c r="G3" s="5"/>
      <c r="H3" s="5"/>
    </row>
    <row r="4" spans="1:18" ht="14.25" customHeight="1">
      <c r="A4" s="17" t="s">
        <v>69</v>
      </c>
      <c r="B4" s="17"/>
      <c r="C4" s="17"/>
      <c r="D4" s="17"/>
      <c r="E4" s="17"/>
      <c r="F4" s="17"/>
      <c r="G4" s="17"/>
      <c r="H4" s="17"/>
      <c r="K4" s="17" t="s">
        <v>103</v>
      </c>
      <c r="L4" s="17"/>
      <c r="M4" s="17"/>
      <c r="N4" s="17"/>
      <c r="O4" s="17"/>
      <c r="P4" s="17"/>
      <c r="Q4" s="17"/>
      <c r="R4" s="17"/>
    </row>
    <row r="5" spans="1:18" ht="14.25" customHeight="1">
      <c r="A5" s="16" t="s">
        <v>15</v>
      </c>
      <c r="B5" s="5"/>
      <c r="C5" s="15"/>
      <c r="D5" s="5"/>
      <c r="E5" s="5"/>
      <c r="F5" s="5"/>
      <c r="G5" s="5"/>
      <c r="H5" s="5"/>
      <c r="K5" s="16" t="s">
        <v>104</v>
      </c>
      <c r="L5" s="5"/>
      <c r="M5" s="15"/>
      <c r="N5" s="5"/>
      <c r="O5" s="5"/>
      <c r="P5" s="5"/>
      <c r="Q5" s="5"/>
      <c r="R5" s="5"/>
    </row>
    <row r="6" spans="1:18" ht="14.25" customHeight="1">
      <c r="A6" s="5" t="s">
        <v>70</v>
      </c>
      <c r="B6" s="5"/>
      <c r="C6" s="15"/>
      <c r="D6" s="5"/>
      <c r="E6" s="5">
        <v>107477</v>
      </c>
      <c r="F6" s="5">
        <v>738318.33482173504</v>
      </c>
      <c r="G6" s="5">
        <v>959813.83526825556</v>
      </c>
      <c r="H6" s="5">
        <v>1181309.3357147761</v>
      </c>
      <c r="K6" s="5" t="s">
        <v>105</v>
      </c>
      <c r="L6" s="5"/>
      <c r="M6" s="15"/>
      <c r="N6" s="5"/>
      <c r="O6" s="5">
        <v>13221</v>
      </c>
      <c r="P6" s="5">
        <v>295119.00614084274</v>
      </c>
      <c r="Q6" s="5">
        <v>536259.07957018353</v>
      </c>
      <c r="R6" s="5">
        <v>827219.76742634363</v>
      </c>
    </row>
    <row r="7" spans="1:18" ht="14.25" customHeight="1">
      <c r="A7" s="5" t="s">
        <v>71</v>
      </c>
      <c r="B7" s="5"/>
      <c r="C7" s="15"/>
      <c r="D7" s="5"/>
      <c r="E7" s="5">
        <v>0</v>
      </c>
      <c r="F7" s="5">
        <v>53738.499999999985</v>
      </c>
      <c r="G7" s="5">
        <v>404984.83407753415</v>
      </c>
      <c r="H7" s="5">
        <v>752882.27924137283</v>
      </c>
      <c r="K7" s="5" t="s">
        <v>80</v>
      </c>
      <c r="L7" s="5"/>
      <c r="M7" s="15"/>
      <c r="N7" s="5"/>
      <c r="O7" s="5">
        <v>6775</v>
      </c>
      <c r="P7" s="5">
        <v>18155</v>
      </c>
      <c r="Q7" s="5">
        <v>32635</v>
      </c>
      <c r="R7" s="5">
        <v>49215</v>
      </c>
    </row>
    <row r="8" spans="1:18" ht="14.25" customHeight="1">
      <c r="A8" s="5" t="s">
        <v>72</v>
      </c>
      <c r="B8" s="5"/>
      <c r="C8" s="15"/>
      <c r="D8" s="5"/>
      <c r="E8" s="5">
        <v>4500</v>
      </c>
      <c r="F8" s="5">
        <v>0</v>
      </c>
      <c r="G8" s="5">
        <v>0</v>
      </c>
      <c r="H8" s="5">
        <v>0</v>
      </c>
      <c r="K8" s="5" t="s">
        <v>106</v>
      </c>
      <c r="L8" s="5"/>
      <c r="M8" s="15"/>
      <c r="N8" s="5"/>
      <c r="O8" s="5"/>
      <c r="P8" s="5"/>
      <c r="Q8" s="5"/>
      <c r="R8" s="5"/>
    </row>
    <row r="9" spans="1:18" ht="14.25" customHeight="1">
      <c r="A9" s="30" t="s">
        <v>73</v>
      </c>
      <c r="B9" s="30"/>
      <c r="C9" s="31"/>
      <c r="D9" s="30"/>
      <c r="E9" s="30">
        <v>111977</v>
      </c>
      <c r="F9" s="30">
        <v>792056.83482173504</v>
      </c>
      <c r="G9" s="30">
        <v>1364798.6693457896</v>
      </c>
      <c r="H9" s="30">
        <v>1934191.6149561489</v>
      </c>
      <c r="K9" s="5" t="s">
        <v>88</v>
      </c>
      <c r="L9" s="5"/>
      <c r="M9" s="15"/>
      <c r="N9" s="5"/>
      <c r="O9" s="5">
        <v>859</v>
      </c>
      <c r="P9" s="5">
        <v>46316.383129112241</v>
      </c>
      <c r="Q9" s="5">
        <v>39228.108197764661</v>
      </c>
      <c r="R9" s="5">
        <v>38998.736832290902</v>
      </c>
    </row>
    <row r="10" spans="1:18" ht="14.25" customHeight="1">
      <c r="A10" s="16"/>
      <c r="B10" s="16"/>
      <c r="C10" s="60"/>
      <c r="D10" s="16"/>
      <c r="E10" s="16"/>
      <c r="F10" s="16"/>
      <c r="G10" s="16"/>
      <c r="H10" s="16"/>
      <c r="K10" s="5" t="s">
        <v>94</v>
      </c>
      <c r="L10" s="5"/>
      <c r="M10" s="15"/>
      <c r="N10" s="5"/>
      <c r="O10" s="5">
        <v>34486</v>
      </c>
      <c r="P10" s="5">
        <v>-7686.6438356164399</v>
      </c>
      <c r="Q10" s="5">
        <v>1643.8356164383586</v>
      </c>
      <c r="R10" s="5">
        <v>1643.8356164383549</v>
      </c>
    </row>
    <row r="11" spans="1:18" ht="14.25" customHeight="1">
      <c r="A11" s="16" t="s">
        <v>74</v>
      </c>
      <c r="B11" s="5"/>
      <c r="C11" s="15"/>
      <c r="D11" s="5"/>
      <c r="E11" s="5"/>
      <c r="F11" s="5"/>
      <c r="G11" s="5"/>
      <c r="H11" s="5"/>
      <c r="K11" s="27" t="s">
        <v>39</v>
      </c>
      <c r="L11" s="27"/>
      <c r="M11" s="28"/>
      <c r="N11" s="27"/>
      <c r="O11" s="27">
        <v>53623</v>
      </c>
      <c r="P11" s="27">
        <v>259270.97917611405</v>
      </c>
      <c r="Q11" s="27">
        <v>531309.80698885722</v>
      </c>
      <c r="R11" s="27">
        <v>839079.86621049105</v>
      </c>
    </row>
    <row r="12" spans="1:18" ht="14.25" customHeight="1">
      <c r="A12" s="5" t="s">
        <v>75</v>
      </c>
      <c r="B12" s="5"/>
      <c r="C12" s="15"/>
      <c r="D12" s="5"/>
      <c r="E12" s="5">
        <v>14557</v>
      </c>
      <c r="F12" s="5">
        <v>100000</v>
      </c>
      <c r="G12" s="5">
        <v>130000</v>
      </c>
      <c r="H12" s="5">
        <v>160000</v>
      </c>
      <c r="K12" s="5"/>
      <c r="L12" s="5"/>
      <c r="M12" s="15"/>
      <c r="N12" s="5"/>
      <c r="O12" s="5"/>
      <c r="P12" s="5"/>
      <c r="Q12" s="5"/>
      <c r="R12" s="5"/>
    </row>
    <row r="13" spans="1:18" ht="14.25" customHeight="1">
      <c r="A13" s="5" t="s">
        <v>76</v>
      </c>
      <c r="B13" s="5"/>
      <c r="C13" s="15"/>
      <c r="D13" s="5"/>
      <c r="E13" s="5">
        <v>73685</v>
      </c>
      <c r="F13" s="5">
        <v>173000</v>
      </c>
      <c r="G13" s="5">
        <v>183000</v>
      </c>
      <c r="H13" s="5">
        <v>193000</v>
      </c>
      <c r="K13" s="16" t="s">
        <v>107</v>
      </c>
      <c r="L13" s="5"/>
      <c r="M13" s="15"/>
      <c r="N13" s="5"/>
      <c r="O13" s="5"/>
      <c r="P13" s="5"/>
      <c r="Q13" s="5"/>
      <c r="R13" s="5"/>
    </row>
    <row r="14" spans="1:18" ht="14.25" customHeight="1">
      <c r="A14" s="5" t="s">
        <v>77</v>
      </c>
      <c r="B14" s="5"/>
      <c r="C14" s="15"/>
      <c r="D14" s="5"/>
      <c r="E14" s="5">
        <v>0</v>
      </c>
      <c r="F14" s="5">
        <v>78000</v>
      </c>
      <c r="G14" s="5">
        <v>252200</v>
      </c>
      <c r="H14" s="5">
        <v>352300</v>
      </c>
      <c r="K14" s="5" t="s">
        <v>108</v>
      </c>
      <c r="L14" s="5"/>
      <c r="M14" s="15"/>
      <c r="N14" s="5"/>
      <c r="O14" s="5">
        <v>19700</v>
      </c>
      <c r="P14" s="5">
        <v>56900</v>
      </c>
      <c r="Q14" s="5">
        <v>72400</v>
      </c>
      <c r="R14" s="5">
        <v>82900</v>
      </c>
    </row>
    <row r="15" spans="1:18" ht="14.25" customHeight="1">
      <c r="A15" s="27" t="s">
        <v>39</v>
      </c>
      <c r="B15" s="27"/>
      <c r="C15" s="28"/>
      <c r="D15" s="27"/>
      <c r="E15" s="27">
        <v>88242</v>
      </c>
      <c r="F15" s="27">
        <v>351000</v>
      </c>
      <c r="G15" s="27">
        <v>565200</v>
      </c>
      <c r="H15" s="27">
        <v>705300</v>
      </c>
      <c r="K15" s="5" t="s">
        <v>59</v>
      </c>
      <c r="L15" s="5"/>
      <c r="M15" s="15"/>
      <c r="N15" s="5"/>
      <c r="O15" s="5">
        <v>0</v>
      </c>
      <c r="P15" s="5">
        <v>0</v>
      </c>
      <c r="Q15" s="5">
        <v>0</v>
      </c>
      <c r="R15" s="5">
        <v>0</v>
      </c>
    </row>
    <row r="16" spans="1:18" ht="14.25" customHeight="1">
      <c r="A16" s="30" t="s">
        <v>78</v>
      </c>
      <c r="B16" s="30"/>
      <c r="C16" s="31"/>
      <c r="D16" s="30"/>
      <c r="E16" s="30">
        <v>23735</v>
      </c>
      <c r="F16" s="30">
        <v>441056.83482173504</v>
      </c>
      <c r="G16" s="30">
        <v>799598.66934578959</v>
      </c>
      <c r="H16" s="30">
        <v>1228891.6149561489</v>
      </c>
      <c r="K16" s="27" t="s">
        <v>39</v>
      </c>
      <c r="L16" s="27"/>
      <c r="M16" s="28"/>
      <c r="N16" s="27"/>
      <c r="O16" s="27">
        <v>19700</v>
      </c>
      <c r="P16" s="27">
        <v>56900</v>
      </c>
      <c r="Q16" s="27">
        <v>72400</v>
      </c>
      <c r="R16" s="27">
        <v>82900</v>
      </c>
    </row>
    <row r="17" spans="1:18" ht="14.25" customHeight="1">
      <c r="A17" s="61" t="s">
        <v>79</v>
      </c>
      <c r="B17" s="16"/>
      <c r="C17" s="60"/>
      <c r="D17" s="16"/>
      <c r="E17" s="62">
        <v>0.21196317100833206</v>
      </c>
      <c r="F17" s="62">
        <v>0.55684998276796882</v>
      </c>
      <c r="G17" s="62">
        <v>0.58587298427618906</v>
      </c>
      <c r="H17" s="62">
        <v>0.63535153676281952</v>
      </c>
      <c r="K17" s="5"/>
      <c r="L17" s="5"/>
      <c r="M17" s="15"/>
      <c r="N17" s="5"/>
      <c r="O17" s="5"/>
      <c r="P17" s="5"/>
      <c r="Q17" s="5"/>
      <c r="R17" s="5"/>
    </row>
    <row r="18" spans="1:18" ht="14.25" customHeight="1">
      <c r="A18" s="5"/>
      <c r="B18" s="5"/>
      <c r="C18" s="15"/>
      <c r="D18" s="5"/>
      <c r="E18" s="5"/>
      <c r="F18" s="5"/>
      <c r="G18" s="5"/>
      <c r="H18" s="5"/>
      <c r="K18" s="16" t="s">
        <v>63</v>
      </c>
      <c r="L18" s="5"/>
      <c r="M18" s="15"/>
      <c r="N18" s="5"/>
      <c r="O18" s="5"/>
      <c r="P18" s="5"/>
      <c r="Q18" s="5"/>
      <c r="R18" s="5"/>
    </row>
    <row r="19" spans="1:18" ht="14.25" customHeight="1">
      <c r="A19" s="5" t="s">
        <v>80</v>
      </c>
      <c r="B19" s="5"/>
      <c r="C19" s="15"/>
      <c r="D19" s="5"/>
      <c r="E19" s="5">
        <v>6775</v>
      </c>
      <c r="F19" s="5">
        <v>18155</v>
      </c>
      <c r="G19" s="5">
        <v>32635</v>
      </c>
      <c r="H19" s="5">
        <v>49215</v>
      </c>
      <c r="K19" s="5" t="s">
        <v>109</v>
      </c>
      <c r="L19" s="5"/>
      <c r="M19" s="15"/>
      <c r="N19" s="5"/>
      <c r="O19" s="5">
        <v>0</v>
      </c>
      <c r="P19" s="5">
        <v>0</v>
      </c>
      <c r="Q19" s="5">
        <v>0</v>
      </c>
      <c r="R19" s="5">
        <v>0</v>
      </c>
    </row>
    <row r="20" spans="1:18" ht="14.25" customHeight="1">
      <c r="A20" s="5" t="s">
        <v>81</v>
      </c>
      <c r="B20" s="5"/>
      <c r="C20" s="15"/>
      <c r="D20" s="5"/>
      <c r="E20" s="5">
        <v>1407</v>
      </c>
      <c r="F20" s="5">
        <v>15841.136696434702</v>
      </c>
      <c r="G20" s="5">
        <v>27295.973386915794</v>
      </c>
      <c r="H20" s="5">
        <v>38683.83229912298</v>
      </c>
      <c r="K20" s="5" t="s">
        <v>110</v>
      </c>
      <c r="L20" s="5"/>
      <c r="M20" s="15"/>
      <c r="N20" s="5"/>
      <c r="O20" s="5">
        <v>63647</v>
      </c>
      <c r="P20" s="78">
        <v>375000</v>
      </c>
      <c r="Q20" s="5">
        <v>0</v>
      </c>
      <c r="R20" s="5">
        <v>0</v>
      </c>
    </row>
    <row r="21" spans="1:18" ht="14.25" customHeight="1">
      <c r="A21" s="27" t="s">
        <v>82</v>
      </c>
      <c r="B21" s="27"/>
      <c r="C21" s="28"/>
      <c r="D21" s="27"/>
      <c r="E21" s="27">
        <v>15553</v>
      </c>
      <c r="F21" s="27">
        <v>407060.69812530035</v>
      </c>
      <c r="G21" s="27">
        <v>739667.69595887384</v>
      </c>
      <c r="H21" s="27">
        <v>1140992.7826570258</v>
      </c>
      <c r="K21" s="5" t="s">
        <v>67</v>
      </c>
      <c r="L21" s="5"/>
      <c r="M21" s="15"/>
      <c r="N21" s="5"/>
      <c r="O21" s="5">
        <v>0</v>
      </c>
      <c r="P21" s="5">
        <v>0</v>
      </c>
      <c r="Q21" s="5">
        <v>0</v>
      </c>
      <c r="R21" s="5">
        <v>0</v>
      </c>
    </row>
    <row r="22" spans="1:18" ht="14.25" customHeight="1">
      <c r="A22" s="5"/>
      <c r="B22" s="5"/>
      <c r="C22" s="15"/>
      <c r="D22" s="5"/>
      <c r="E22" s="5"/>
      <c r="F22" s="5"/>
      <c r="G22" s="5"/>
      <c r="H22" s="5"/>
      <c r="K22" s="27" t="s">
        <v>39</v>
      </c>
      <c r="L22" s="27"/>
      <c r="M22" s="28"/>
      <c r="N22" s="27"/>
      <c r="O22" s="27">
        <v>63647</v>
      </c>
      <c r="P22" s="27">
        <v>375000</v>
      </c>
      <c r="Q22" s="27">
        <v>0</v>
      </c>
      <c r="R22" s="27">
        <v>0</v>
      </c>
    </row>
    <row r="23" spans="1:18" ht="14.25" customHeight="1">
      <c r="A23" s="5" t="s">
        <v>83</v>
      </c>
      <c r="B23" s="5"/>
      <c r="C23" s="15"/>
      <c r="D23" s="5"/>
      <c r="E23" s="5">
        <v>2332</v>
      </c>
      <c r="F23" s="5">
        <v>111941.6919844576</v>
      </c>
      <c r="G23" s="5">
        <v>203408.61638869031</v>
      </c>
      <c r="H23" s="5">
        <v>313773.01523068215</v>
      </c>
      <c r="K23" s="5"/>
      <c r="L23" s="5"/>
      <c r="M23" s="15"/>
      <c r="N23" s="5"/>
      <c r="O23" s="5"/>
      <c r="P23" s="5"/>
      <c r="Q23" s="5"/>
      <c r="R23" s="5"/>
    </row>
    <row r="24" spans="1:18" ht="14.25" customHeight="1">
      <c r="A24" s="63" t="s">
        <v>84</v>
      </c>
      <c r="B24" s="63"/>
      <c r="C24" s="64"/>
      <c r="D24" s="63"/>
      <c r="E24" s="63">
        <v>13221</v>
      </c>
      <c r="F24" s="63">
        <v>295119.00614084274</v>
      </c>
      <c r="G24" s="63">
        <v>536259.07957018353</v>
      </c>
      <c r="H24" s="63">
        <v>827219.76742634363</v>
      </c>
      <c r="K24" s="5" t="s">
        <v>111</v>
      </c>
      <c r="L24" s="5"/>
      <c r="M24" s="15"/>
      <c r="N24" s="5"/>
      <c r="O24" s="5">
        <v>97570</v>
      </c>
      <c r="P24" s="5">
        <v>577370.97917611408</v>
      </c>
      <c r="Q24" s="5">
        <v>458909.80698885722</v>
      </c>
      <c r="R24" s="5">
        <v>756179.86621049105</v>
      </c>
    </row>
    <row r="25" spans="1:18" ht="14.25" customHeight="1">
      <c r="K25" s="5"/>
      <c r="L25" s="5"/>
      <c r="M25" s="15"/>
      <c r="N25" s="5"/>
      <c r="O25" s="5"/>
      <c r="P25" s="5"/>
      <c r="Q25" s="5"/>
      <c r="R25" s="5"/>
    </row>
    <row r="26" spans="1:18" ht="14.25" customHeight="1"/>
    <row r="27" spans="1:18" ht="14.25" customHeight="1"/>
    <row r="28" spans="1:18" ht="14.25" customHeight="1"/>
    <row r="29" spans="1:18" ht="14.25" customHeight="1"/>
    <row r="30" spans="1:18" ht="14.25" customHeight="1"/>
    <row r="31" spans="1:18" ht="14.25" customHeight="1"/>
    <row r="32" spans="1:1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A2:C2">
    <cfRule type="containsText" dxfId="3" priority="1" operator="containsText" text="OK">
      <formula>NOT(ISERROR(SEARCH(("OK"),(A2))))</formula>
    </cfRule>
  </conditionalFormatting>
  <conditionalFormatting sqref="A2:C2">
    <cfRule type="containsText" dxfId="2" priority="2" operator="containsText" text="ERROR">
      <formula>NOT(ISERROR(SEARCH(("ERROR"),(A2))))</formula>
    </cfRule>
  </conditionalFormatting>
  <conditionalFormatting sqref="K2:M2">
    <cfRule type="containsText" dxfId="1" priority="3" operator="containsText" text="OK">
      <formula>NOT(ISERROR(SEARCH(("OK"),(K2))))</formula>
    </cfRule>
  </conditionalFormatting>
  <conditionalFormatting sqref="K2:M2">
    <cfRule type="containsText" dxfId="0" priority="4" operator="containsText" text="ERROR">
      <formula>NOT(ISERROR(SEARCH(("ERROR"),(K2))))</formula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1000"/>
  <sheetViews>
    <sheetView showGridLines="0" workbookViewId="0"/>
  </sheetViews>
  <sheetFormatPr baseColWidth="10" defaultColWidth="14.5" defaultRowHeight="15" customHeight="1"/>
  <cols>
    <col min="1" max="1" width="27" customWidth="1"/>
    <col min="2" max="3" width="15.5" customWidth="1"/>
    <col min="4" max="5" width="16.5" customWidth="1"/>
    <col min="6" max="75" width="15.5" customWidth="1"/>
  </cols>
  <sheetData>
    <row r="1" spans="1:75" ht="16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</row>
    <row r="2" spans="1:75" ht="16.5" customHeight="1">
      <c r="A2" s="79" t="s">
        <v>144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</row>
    <row r="3" spans="1:75" ht="16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</row>
    <row r="4" spans="1:75" ht="16.5" customHeight="1">
      <c r="A4" s="22"/>
      <c r="B4" s="80">
        <v>44439</v>
      </c>
      <c r="C4" s="80">
        <v>44440</v>
      </c>
      <c r="D4" s="80">
        <v>44441</v>
      </c>
      <c r="E4" s="80">
        <v>44442</v>
      </c>
      <c r="F4" s="80">
        <v>44443</v>
      </c>
      <c r="G4" s="80">
        <v>44444</v>
      </c>
      <c r="H4" s="80">
        <v>44445</v>
      </c>
      <c r="I4" s="80">
        <v>44446</v>
      </c>
      <c r="J4" s="80">
        <v>44447</v>
      </c>
      <c r="K4" s="80">
        <v>44448</v>
      </c>
      <c r="L4" s="80">
        <v>44449</v>
      </c>
      <c r="M4" s="80">
        <v>44450</v>
      </c>
      <c r="N4" s="80">
        <v>44451</v>
      </c>
      <c r="O4" s="80">
        <v>44452</v>
      </c>
      <c r="P4" s="80">
        <v>44453</v>
      </c>
      <c r="Q4" s="80">
        <v>44454</v>
      </c>
      <c r="R4" s="80">
        <v>44455</v>
      </c>
      <c r="S4" s="80">
        <v>44456</v>
      </c>
      <c r="T4" s="80">
        <v>44457</v>
      </c>
      <c r="U4" s="80">
        <v>44458</v>
      </c>
      <c r="V4" s="80">
        <v>44459</v>
      </c>
      <c r="W4" s="80">
        <v>44460</v>
      </c>
      <c r="X4" s="80">
        <v>44461</v>
      </c>
      <c r="Y4" s="80">
        <v>44462</v>
      </c>
      <c r="Z4" s="80">
        <v>44463</v>
      </c>
      <c r="AA4" s="80">
        <v>44464</v>
      </c>
      <c r="AB4" s="80">
        <v>44465</v>
      </c>
      <c r="AC4" s="80">
        <v>44466</v>
      </c>
      <c r="AD4" s="80">
        <v>44467</v>
      </c>
      <c r="AE4" s="80">
        <v>44468</v>
      </c>
      <c r="AF4" s="80">
        <v>44469</v>
      </c>
      <c r="AG4" s="80">
        <v>44470</v>
      </c>
      <c r="AH4" s="80">
        <v>44471</v>
      </c>
      <c r="AI4" s="80">
        <v>44472</v>
      </c>
      <c r="AJ4" s="80">
        <v>44473</v>
      </c>
      <c r="AK4" s="80">
        <v>44474</v>
      </c>
      <c r="AL4" s="80">
        <v>44475</v>
      </c>
      <c r="AM4" s="80">
        <v>44476</v>
      </c>
      <c r="AN4" s="80">
        <v>44477</v>
      </c>
      <c r="AO4" s="80">
        <v>44478</v>
      </c>
      <c r="AP4" s="80">
        <v>44479</v>
      </c>
      <c r="AQ4" s="80">
        <v>44480</v>
      </c>
      <c r="AR4" s="80">
        <v>44481</v>
      </c>
      <c r="AS4" s="80">
        <v>44482</v>
      </c>
      <c r="AT4" s="80">
        <v>44483</v>
      </c>
      <c r="AU4" s="80">
        <v>44484</v>
      </c>
      <c r="AV4" s="80">
        <v>44485</v>
      </c>
      <c r="AW4" s="80">
        <v>44486</v>
      </c>
      <c r="AX4" s="80">
        <v>44487</v>
      </c>
      <c r="AY4" s="80">
        <v>44488</v>
      </c>
      <c r="AZ4" s="80">
        <v>44489</v>
      </c>
      <c r="BA4" s="80">
        <v>44490</v>
      </c>
      <c r="BB4" s="80">
        <v>44491</v>
      </c>
      <c r="BC4" s="80">
        <v>44492</v>
      </c>
      <c r="BD4" s="80">
        <v>44493</v>
      </c>
      <c r="BE4" s="80">
        <v>44494</v>
      </c>
      <c r="BF4" s="80">
        <v>44495</v>
      </c>
      <c r="BG4" s="80">
        <v>44496</v>
      </c>
      <c r="BH4" s="80">
        <v>44497</v>
      </c>
      <c r="BI4" s="80">
        <v>44498</v>
      </c>
      <c r="BJ4" s="80">
        <v>44499</v>
      </c>
      <c r="BK4" s="80">
        <v>44500</v>
      </c>
      <c r="BL4" s="80">
        <v>44501</v>
      </c>
      <c r="BM4" s="80">
        <v>44502</v>
      </c>
      <c r="BN4" s="80">
        <v>44503</v>
      </c>
      <c r="BO4" s="80">
        <v>44522</v>
      </c>
      <c r="BP4" s="80">
        <v>44523</v>
      </c>
      <c r="BQ4" s="80">
        <v>44524</v>
      </c>
      <c r="BR4" s="80">
        <v>44525</v>
      </c>
      <c r="BS4" s="80">
        <v>44526</v>
      </c>
      <c r="BT4" s="80">
        <v>44527</v>
      </c>
      <c r="BU4" s="80">
        <v>44528</v>
      </c>
      <c r="BV4" s="80">
        <v>44529</v>
      </c>
      <c r="BW4" s="80">
        <v>44531</v>
      </c>
    </row>
    <row r="5" spans="1:75" ht="16.5" customHeight="1">
      <c r="A5" s="36" t="s">
        <v>145</v>
      </c>
      <c r="B5" s="81">
        <v>9.57</v>
      </c>
      <c r="C5" s="81">
        <v>823.35</v>
      </c>
      <c r="D5" s="81">
        <v>1585.2799999999997</v>
      </c>
      <c r="E5" s="81">
        <v>1969.7399999999998</v>
      </c>
      <c r="F5" s="81">
        <v>2395.5499999999997</v>
      </c>
      <c r="G5" s="81">
        <v>2727.5399999999995</v>
      </c>
      <c r="H5" s="81">
        <v>3293.6399999999994</v>
      </c>
      <c r="I5" s="81">
        <v>3543.8899999999994</v>
      </c>
      <c r="J5" s="81">
        <v>4194.6499999999996</v>
      </c>
      <c r="K5" s="81">
        <v>9793.4399999999932</v>
      </c>
      <c r="L5" s="81">
        <v>10829.219999999994</v>
      </c>
      <c r="M5" s="81">
        <v>11562.509999999995</v>
      </c>
      <c r="N5" s="81">
        <v>12023.819999999994</v>
      </c>
      <c r="O5" s="81">
        <v>12500.799999999994</v>
      </c>
      <c r="P5" s="81">
        <v>13040.469999999994</v>
      </c>
      <c r="Q5" s="81">
        <v>14483.959999999995</v>
      </c>
      <c r="R5" s="81">
        <v>18616.239999999991</v>
      </c>
      <c r="S5" s="81">
        <v>20425.509999999991</v>
      </c>
      <c r="T5" s="81">
        <v>21664.819999999992</v>
      </c>
      <c r="U5" s="81">
        <v>22512.499999999993</v>
      </c>
      <c r="V5" s="81">
        <v>23370.199999999993</v>
      </c>
      <c r="W5" s="81">
        <v>25081.659999999993</v>
      </c>
      <c r="X5" s="81">
        <v>27706.589999999993</v>
      </c>
      <c r="Y5" s="81">
        <v>35128.929999999986</v>
      </c>
      <c r="Z5" s="81">
        <v>36868.089999999989</v>
      </c>
      <c r="AA5" s="81">
        <v>38048.609999999986</v>
      </c>
      <c r="AB5" s="81">
        <v>38991.729999999989</v>
      </c>
      <c r="AC5" s="81">
        <v>39838.639999999992</v>
      </c>
      <c r="AD5" s="81">
        <v>40990.789999999994</v>
      </c>
      <c r="AE5" s="81">
        <v>42349.639999999992</v>
      </c>
      <c r="AF5" s="81">
        <v>44641.119999999995</v>
      </c>
      <c r="AG5" s="81">
        <v>46893.17</v>
      </c>
      <c r="AH5" s="81">
        <v>48654.69</v>
      </c>
      <c r="AI5" s="81">
        <v>50123.71</v>
      </c>
      <c r="AJ5" s="81">
        <v>51148</v>
      </c>
      <c r="AK5" s="81">
        <v>52383.07</v>
      </c>
      <c r="AL5" s="81">
        <v>54119.21</v>
      </c>
      <c r="AM5" s="81">
        <v>59308.17</v>
      </c>
      <c r="AN5" s="81">
        <v>60436.45</v>
      </c>
      <c r="AO5" s="81">
        <v>61883.93</v>
      </c>
      <c r="AP5" s="81">
        <v>63404.82</v>
      </c>
      <c r="AQ5" s="81">
        <v>65954.880000000005</v>
      </c>
      <c r="AR5" s="81">
        <v>68346.740000000005</v>
      </c>
      <c r="AS5" s="81">
        <v>74454.180000000008</v>
      </c>
      <c r="AT5" s="81">
        <v>77398.13</v>
      </c>
      <c r="AU5" s="81">
        <v>79370.92</v>
      </c>
      <c r="AV5" s="81">
        <v>81510.63</v>
      </c>
      <c r="AW5" s="81">
        <v>83636.47</v>
      </c>
      <c r="AX5" s="81">
        <v>85263.96</v>
      </c>
      <c r="AY5" s="81">
        <v>86856.82</v>
      </c>
      <c r="AZ5" s="81">
        <v>87978.400000000009</v>
      </c>
      <c r="BA5" s="81">
        <v>89536.87000000001</v>
      </c>
      <c r="BB5" s="81">
        <v>91079.48000000001</v>
      </c>
      <c r="BC5" s="81">
        <v>92634.13</v>
      </c>
      <c r="BD5" s="81">
        <v>94767.75</v>
      </c>
      <c r="BE5" s="81">
        <v>97203.36</v>
      </c>
      <c r="BF5" s="81">
        <v>98591.45</v>
      </c>
      <c r="BG5" s="81">
        <v>100058.95</v>
      </c>
      <c r="BH5" s="81">
        <v>102606.56999999999</v>
      </c>
      <c r="BI5" s="81">
        <v>104577.89</v>
      </c>
      <c r="BJ5" s="81">
        <v>106115.15</v>
      </c>
      <c r="BK5" s="81">
        <v>108078.68999999999</v>
      </c>
      <c r="BL5" s="81">
        <v>111478.39999999999</v>
      </c>
      <c r="BM5" s="81">
        <v>112687.62999999999</v>
      </c>
      <c r="BN5" s="81">
        <v>120728.21999999999</v>
      </c>
      <c r="BO5" s="81">
        <v>129129.25999999998</v>
      </c>
      <c r="BP5" s="81">
        <v>130918.92999999998</v>
      </c>
      <c r="BQ5" s="81">
        <v>132229.26999999999</v>
      </c>
      <c r="BR5" s="81">
        <v>132662.31</v>
      </c>
      <c r="BS5" s="81">
        <v>134043.48000000001</v>
      </c>
      <c r="BT5" s="81">
        <v>134979.67000000001</v>
      </c>
      <c r="BU5" s="81">
        <v>135553.59000000003</v>
      </c>
      <c r="BV5" s="81">
        <v>136611.52000000002</v>
      </c>
      <c r="BW5" s="81">
        <v>136611.52000000002</v>
      </c>
    </row>
    <row r="6" spans="1:75" ht="16.5" customHeight="1">
      <c r="A6" s="36" t="s">
        <v>8</v>
      </c>
      <c r="B6" s="82">
        <v>179</v>
      </c>
      <c r="C6" s="82">
        <v>209</v>
      </c>
      <c r="D6" s="82">
        <v>249</v>
      </c>
      <c r="E6" s="82">
        <v>368</v>
      </c>
      <c r="F6" s="82">
        <v>488</v>
      </c>
      <c r="G6" s="82">
        <v>597</v>
      </c>
      <c r="H6" s="82">
        <v>671</v>
      </c>
      <c r="I6" s="82">
        <v>738</v>
      </c>
      <c r="J6" s="82">
        <v>788</v>
      </c>
      <c r="K6" s="82">
        <v>835</v>
      </c>
      <c r="L6" s="82">
        <v>862</v>
      </c>
      <c r="M6" s="82">
        <v>890</v>
      </c>
      <c r="N6" s="82">
        <v>902</v>
      </c>
      <c r="O6" s="82">
        <v>918</v>
      </c>
      <c r="P6" s="82">
        <v>962</v>
      </c>
      <c r="Q6" s="82">
        <v>1000</v>
      </c>
      <c r="R6" s="82">
        <v>1027</v>
      </c>
      <c r="S6" s="82">
        <v>1053</v>
      </c>
      <c r="T6" s="82">
        <v>1098</v>
      </c>
      <c r="U6" s="82">
        <v>1145</v>
      </c>
      <c r="V6" s="82">
        <v>1190</v>
      </c>
      <c r="W6" s="82">
        <v>1254</v>
      </c>
      <c r="X6" s="82">
        <v>1298</v>
      </c>
      <c r="Y6" s="82">
        <v>1344</v>
      </c>
      <c r="Z6" s="82">
        <v>1370</v>
      </c>
      <c r="AA6" s="82">
        <v>1388</v>
      </c>
      <c r="AB6" s="82">
        <v>1412</v>
      </c>
      <c r="AC6" s="82">
        <v>1433</v>
      </c>
      <c r="AD6" s="82">
        <v>1475</v>
      </c>
      <c r="AE6" s="82">
        <v>1520</v>
      </c>
      <c r="AF6" s="82">
        <v>1650</v>
      </c>
      <c r="AG6" s="82">
        <v>1735</v>
      </c>
      <c r="AH6" s="82">
        <v>1779</v>
      </c>
      <c r="AI6" s="82">
        <v>1821</v>
      </c>
      <c r="AJ6" s="82">
        <v>1861</v>
      </c>
      <c r="AK6" s="82">
        <v>1905</v>
      </c>
      <c r="AL6" s="82">
        <v>1942</v>
      </c>
      <c r="AM6" s="82">
        <v>1984</v>
      </c>
      <c r="AN6" s="82">
        <v>2047</v>
      </c>
      <c r="AO6" s="82">
        <v>2108</v>
      </c>
      <c r="AP6" s="82">
        <v>2160</v>
      </c>
      <c r="AQ6" s="82">
        <v>2209</v>
      </c>
      <c r="AR6" s="82">
        <v>2269</v>
      </c>
      <c r="AS6" s="82">
        <v>2320</v>
      </c>
      <c r="AT6" s="82">
        <v>2355</v>
      </c>
      <c r="AU6" s="82">
        <v>2381</v>
      </c>
      <c r="AV6" s="82">
        <v>2413</v>
      </c>
      <c r="AW6" s="82">
        <v>2435</v>
      </c>
      <c r="AX6" s="82">
        <v>2464</v>
      </c>
      <c r="AY6" s="82">
        <v>2492</v>
      </c>
      <c r="AZ6" s="82">
        <v>2515</v>
      </c>
      <c r="BA6" s="82">
        <v>2554</v>
      </c>
      <c r="BB6" s="82">
        <v>2579</v>
      </c>
      <c r="BC6" s="82">
        <v>2601</v>
      </c>
      <c r="BD6" s="82">
        <v>2625</v>
      </c>
      <c r="BE6" s="82">
        <v>2652</v>
      </c>
      <c r="BF6" s="82">
        <v>2670</v>
      </c>
      <c r="BG6" s="82">
        <v>2682</v>
      </c>
      <c r="BH6" s="82">
        <v>2703</v>
      </c>
      <c r="BI6" s="82">
        <v>2720</v>
      </c>
      <c r="BJ6" s="82">
        <v>2737</v>
      </c>
      <c r="BK6" s="82">
        <v>2784</v>
      </c>
      <c r="BL6" s="82">
        <v>2828</v>
      </c>
      <c r="BM6" s="82">
        <v>2858</v>
      </c>
      <c r="BN6" s="82">
        <v>2877</v>
      </c>
      <c r="BO6" s="82">
        <v>2883</v>
      </c>
      <c r="BP6" s="82">
        <v>2884</v>
      </c>
      <c r="BQ6" s="82">
        <v>2889</v>
      </c>
      <c r="BR6" s="82">
        <v>2893</v>
      </c>
      <c r="BS6" s="82">
        <v>2895</v>
      </c>
      <c r="BT6" s="82">
        <v>2901</v>
      </c>
      <c r="BU6" s="82">
        <v>2903</v>
      </c>
      <c r="BV6" s="82">
        <v>2903</v>
      </c>
      <c r="BW6" s="82">
        <v>2903</v>
      </c>
    </row>
    <row r="7" spans="1:75" ht="16.5" customHeight="1">
      <c r="A7" s="36" t="s">
        <v>146</v>
      </c>
      <c r="B7" s="82">
        <v>2</v>
      </c>
      <c r="C7" s="82">
        <v>56</v>
      </c>
      <c r="D7" s="82">
        <v>91</v>
      </c>
      <c r="E7" s="82">
        <v>133</v>
      </c>
      <c r="F7" s="82">
        <v>171</v>
      </c>
      <c r="G7" s="82">
        <v>216</v>
      </c>
      <c r="H7" s="82">
        <v>264</v>
      </c>
      <c r="I7" s="82">
        <v>295</v>
      </c>
      <c r="J7" s="82">
        <v>326</v>
      </c>
      <c r="K7" s="82">
        <v>476</v>
      </c>
      <c r="L7" s="82">
        <v>537</v>
      </c>
      <c r="M7" s="82">
        <v>604</v>
      </c>
      <c r="N7" s="82">
        <v>635</v>
      </c>
      <c r="O7" s="82">
        <v>683</v>
      </c>
      <c r="P7" s="82">
        <v>734</v>
      </c>
      <c r="Q7" s="82">
        <v>811</v>
      </c>
      <c r="R7" s="82">
        <v>956</v>
      </c>
      <c r="S7" s="82">
        <v>1027</v>
      </c>
      <c r="T7" s="82">
        <v>1088</v>
      </c>
      <c r="U7" s="82">
        <v>1138</v>
      </c>
      <c r="V7" s="82">
        <v>1193</v>
      </c>
      <c r="W7" s="82">
        <v>1262</v>
      </c>
      <c r="X7" s="82">
        <v>1385</v>
      </c>
      <c r="Y7" s="82">
        <v>1586</v>
      </c>
      <c r="Z7" s="82">
        <v>1676</v>
      </c>
      <c r="AA7" s="82">
        <v>1751</v>
      </c>
      <c r="AB7" s="82">
        <v>1820</v>
      </c>
      <c r="AC7" s="82">
        <v>1862</v>
      </c>
      <c r="AD7" s="82">
        <v>1925</v>
      </c>
      <c r="AE7" s="82">
        <v>1996</v>
      </c>
      <c r="AF7" s="82">
        <v>2097</v>
      </c>
      <c r="AG7" s="82">
        <v>2191</v>
      </c>
      <c r="AH7" s="82">
        <v>2282</v>
      </c>
      <c r="AI7" s="82">
        <v>2372</v>
      </c>
      <c r="AJ7" s="82">
        <v>2447</v>
      </c>
      <c r="AK7" s="82">
        <v>2533</v>
      </c>
      <c r="AL7" s="82">
        <v>2634</v>
      </c>
      <c r="AM7" s="82">
        <v>3008</v>
      </c>
      <c r="AN7" s="82">
        <v>3070</v>
      </c>
      <c r="AO7" s="82">
        <v>3147</v>
      </c>
      <c r="AP7" s="82">
        <v>3213</v>
      </c>
      <c r="AQ7" s="82">
        <v>3315</v>
      </c>
      <c r="AR7" s="82">
        <v>3422</v>
      </c>
      <c r="AS7" s="82">
        <v>3580</v>
      </c>
      <c r="AT7" s="82">
        <v>3709</v>
      </c>
      <c r="AU7" s="82">
        <v>3831</v>
      </c>
      <c r="AV7" s="82">
        <v>3969</v>
      </c>
      <c r="AW7" s="82">
        <v>4078</v>
      </c>
      <c r="AX7" s="82">
        <v>4164</v>
      </c>
      <c r="AY7" s="82">
        <v>4256</v>
      </c>
      <c r="AZ7" s="82">
        <v>4332</v>
      </c>
      <c r="BA7" s="82">
        <v>4438</v>
      </c>
      <c r="BB7" s="82">
        <v>4540</v>
      </c>
      <c r="BC7" s="82">
        <v>4628</v>
      </c>
      <c r="BD7" s="82">
        <v>4730</v>
      </c>
      <c r="BE7" s="82">
        <v>4820</v>
      </c>
      <c r="BF7" s="82">
        <v>4921</v>
      </c>
      <c r="BG7" s="82">
        <v>4996</v>
      </c>
      <c r="BH7" s="82">
        <v>5114</v>
      </c>
      <c r="BI7" s="82">
        <v>5205</v>
      </c>
      <c r="BJ7" s="82">
        <v>5294</v>
      </c>
      <c r="BK7" s="82">
        <v>5391</v>
      </c>
      <c r="BL7" s="82">
        <v>5518</v>
      </c>
      <c r="BM7" s="82">
        <v>5566</v>
      </c>
      <c r="BN7" s="82">
        <v>5802</v>
      </c>
      <c r="BO7" s="82">
        <v>5941</v>
      </c>
      <c r="BP7" s="82">
        <v>5980</v>
      </c>
      <c r="BQ7" s="82">
        <v>6009</v>
      </c>
      <c r="BR7" s="82">
        <v>6031</v>
      </c>
      <c r="BS7" s="82">
        <v>6067</v>
      </c>
      <c r="BT7" s="82">
        <v>6095</v>
      </c>
      <c r="BU7" s="82">
        <v>6114</v>
      </c>
      <c r="BV7" s="82">
        <v>6133</v>
      </c>
      <c r="BW7" s="82">
        <v>6133</v>
      </c>
    </row>
    <row r="8" spans="1:75" ht="16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75" ht="16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0" spans="1:75" ht="16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</row>
    <row r="11" spans="1:75" ht="16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ht="16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ht="16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ht="16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ht="16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ht="16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ht="16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ht="16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ht="16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ht="16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ht="16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ht="16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ht="16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ht="16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5" ht="16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</row>
    <row r="26" spans="1:75" ht="16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5" ht="16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ht="16.5" customHeight="1">
      <c r="A28" s="79" t="s">
        <v>147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ht="16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ht="16.5" customHeight="1">
      <c r="A30" s="22"/>
      <c r="B30" s="83">
        <v>2021</v>
      </c>
      <c r="C30" s="84">
        <v>2022</v>
      </c>
      <c r="D30" s="84">
        <f t="shared" ref="D30:E30" si="0">+C30+1</f>
        <v>2023</v>
      </c>
      <c r="E30" s="84">
        <f t="shared" si="0"/>
        <v>2024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5" ht="16.5" customHeight="1">
      <c r="A31" s="85" t="s">
        <v>73</v>
      </c>
      <c r="B31" s="86">
        <f>VLOOKUP($A31,'BP 2022-2024 ECF 375K'!$A:$H,MATCH(Grafici!B$30,'BP 2022-2024 ECF 375K'!$2:$2,0),0)</f>
        <v>111977</v>
      </c>
      <c r="C31" s="86">
        <f>VLOOKUP($A31,'BP 2022-2024 ECF 375K'!$A:$H,MATCH(Grafici!C$30,'BP 2022-2024 ECF 375K'!$2:$2,0),0)</f>
        <v>792056.83482173504</v>
      </c>
      <c r="D31" s="86">
        <f>VLOOKUP($A31,'BP 2022-2024 ECF 375K'!$A:$H,MATCH(Grafici!D$30,'BP 2022-2024 ECF 375K'!$2:$2,0),0)</f>
        <v>1364798.6693457896</v>
      </c>
      <c r="E31" s="86">
        <f>VLOOKUP($A31,'BP 2022-2024 ECF 375K'!$A:$H,MATCH(Grafici!E$30,'BP 2022-2024 ECF 375K'!$2:$2,0),0)</f>
        <v>1934191.6149561489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</row>
    <row r="32" spans="1:75" ht="16.5" customHeight="1">
      <c r="A32" s="85" t="s">
        <v>78</v>
      </c>
      <c r="B32" s="86">
        <f>VLOOKUP($A32,'BP 2022-2024 ECF 375K'!$A:$H,MATCH(Grafici!B$30,'BP 2022-2024 ECF 375K'!$2:$2,0),0)</f>
        <v>23735</v>
      </c>
      <c r="C32" s="86">
        <f>VLOOKUP($A32,'BP 2022-2024 ECF 375K'!$A:$H,MATCH(Grafici!C$30,'BP 2022-2024 ECF 375K'!$2:$2,0),0)</f>
        <v>441056.83482173504</v>
      </c>
      <c r="D32" s="86">
        <f>VLOOKUP($A32,'BP 2022-2024 ECF 375K'!$A:$H,MATCH(Grafici!D$30,'BP 2022-2024 ECF 375K'!$2:$2,0),0)</f>
        <v>799598.66934578959</v>
      </c>
      <c r="E32" s="86">
        <f>VLOOKUP($A32,'BP 2022-2024 ECF 375K'!$A:$H,MATCH(Grafici!E$30,'BP 2022-2024 ECF 375K'!$2:$2,0),0)</f>
        <v>1228891.6149561489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ht="16.5" customHeight="1">
      <c r="A33" s="87" t="s">
        <v>148</v>
      </c>
      <c r="B33" s="88">
        <f t="shared" ref="B33:E33" si="1">B32/B31</f>
        <v>0.21196317100833206</v>
      </c>
      <c r="C33" s="88">
        <f t="shared" si="1"/>
        <v>0.55684998276796882</v>
      </c>
      <c r="D33" s="88">
        <f t="shared" si="1"/>
        <v>0.58587298427618906</v>
      </c>
      <c r="E33" s="88">
        <f t="shared" si="1"/>
        <v>0.63535153676281952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75" ht="16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5" ht="16.5" customHeight="1">
      <c r="A35" s="79" t="s">
        <v>149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ht="16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5" ht="16.5" customHeight="1">
      <c r="A37" s="22"/>
      <c r="B37" s="83">
        <v>2021</v>
      </c>
      <c r="C37" s="84">
        <v>2022</v>
      </c>
      <c r="D37" s="84">
        <f t="shared" ref="D37:E37" si="2">+C37+1</f>
        <v>2023</v>
      </c>
      <c r="E37" s="84">
        <f t="shared" si="2"/>
        <v>2024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</row>
    <row r="38" spans="1:75" ht="16.5" customHeight="1">
      <c r="A38" s="85" t="s">
        <v>150</v>
      </c>
      <c r="B38" s="86">
        <f>'BP 2022-2024 ECF 375K'!E155</f>
        <v>53623</v>
      </c>
      <c r="C38" s="86">
        <f>'BP 2022-2024 ECF 375K'!F155</f>
        <v>259270.97917611405</v>
      </c>
      <c r="D38" s="86">
        <f>'BP 2022-2024 ECF 375K'!G155</f>
        <v>531309.80698885722</v>
      </c>
      <c r="E38" s="86">
        <f>'BP 2022-2024 ECF 375K'!H155</f>
        <v>839079.86621049105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</row>
    <row r="39" spans="1:75" ht="16.5" customHeight="1">
      <c r="A39" s="89" t="s">
        <v>151</v>
      </c>
      <c r="B39" s="86">
        <f>-'BP 2022-2024 ECF 375K'!E160</f>
        <v>-19700</v>
      </c>
      <c r="C39" s="86">
        <f>-'BP 2022-2024 ECF 375K'!F160</f>
        <v>-56900</v>
      </c>
      <c r="D39" s="86">
        <f>-'BP 2022-2024 ECF 375K'!G160</f>
        <v>-72400</v>
      </c>
      <c r="E39" s="86">
        <f>-'BP 2022-2024 ECF 375K'!H160</f>
        <v>-82900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</row>
    <row r="40" spans="1:75" ht="16.5" customHeight="1">
      <c r="A40" s="89" t="s">
        <v>152</v>
      </c>
      <c r="B40" s="86">
        <f>'BP 2022-2024 ECF 375K'!E166</f>
        <v>63647</v>
      </c>
      <c r="C40" s="86">
        <f>'BP 2022-2024 ECF 375K'!F166</f>
        <v>375000</v>
      </c>
      <c r="D40" s="86">
        <f>'BP 2022-2024 ECF 375K'!G166</f>
        <v>0</v>
      </c>
      <c r="E40" s="86">
        <f>'BP 2022-2024 ECF 375K'!H166</f>
        <v>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</row>
    <row r="41" spans="1:75" ht="16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</row>
    <row r="42" spans="1:75" ht="16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5" ht="16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</row>
    <row r="44" spans="1:75" ht="16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5" ht="16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ht="16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ht="16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ht="16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5" ht="16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5" ht="16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spans="1:75" ht="16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1:75" ht="16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1:75" ht="16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1:75" ht="16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</row>
    <row r="56" spans="1:75" ht="16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</row>
    <row r="57" spans="1:75" ht="16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</row>
    <row r="58" spans="1:75" ht="16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</row>
    <row r="59" spans="1:75" ht="16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</row>
    <row r="60" spans="1:75" ht="16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</row>
    <row r="61" spans="1:75" ht="16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</row>
    <row r="62" spans="1:75" ht="16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</row>
    <row r="63" spans="1:75" ht="16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</row>
    <row r="64" spans="1:75" ht="16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</row>
    <row r="65" spans="1:75" ht="16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</row>
    <row r="66" spans="1:75" ht="16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</row>
    <row r="67" spans="1:75" ht="16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</row>
    <row r="68" spans="1:75" ht="16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</row>
    <row r="69" spans="1:75" ht="16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</row>
    <row r="70" spans="1:75" ht="16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</row>
    <row r="71" spans="1:75" ht="16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</row>
    <row r="72" spans="1:75" ht="16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</row>
    <row r="73" spans="1:75" ht="16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</row>
    <row r="74" spans="1:75" ht="16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</row>
    <row r="75" spans="1:75" ht="16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</row>
    <row r="76" spans="1:75" ht="16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1:75" ht="16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1:75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1:75" ht="16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1:75" ht="16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1:75" ht="16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1:75" ht="16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1:75" ht="16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1:75" ht="16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1:75" ht="16.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1:75" ht="16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1:75" ht="16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1:75" ht="16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1:75" ht="16.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  <row r="90" spans="1:75" ht="16.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</row>
    <row r="91" spans="1:75" ht="16.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</row>
    <row r="92" spans="1:75" ht="16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</row>
    <row r="93" spans="1:75" ht="16.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</row>
    <row r="94" spans="1:75" ht="16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</row>
    <row r="95" spans="1:75" ht="16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</row>
    <row r="96" spans="1:75" ht="16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</row>
    <row r="97" spans="1:75" ht="16.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</row>
    <row r="98" spans="1:75" ht="16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</row>
    <row r="99" spans="1:75" ht="16.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</row>
    <row r="100" spans="1:75" ht="16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</row>
    <row r="101" spans="1:75" ht="16.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</row>
    <row r="102" spans="1:75" ht="16.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</row>
    <row r="103" spans="1:75" ht="16.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</row>
    <row r="104" spans="1:75" ht="16.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</row>
    <row r="105" spans="1:75" ht="16.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</row>
    <row r="106" spans="1:75" ht="16.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</row>
    <row r="107" spans="1:75" ht="16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</row>
    <row r="108" spans="1:75" ht="16.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</row>
    <row r="109" spans="1:75" ht="16.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</row>
    <row r="110" spans="1:75" ht="16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</row>
    <row r="111" spans="1:75" ht="16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</row>
    <row r="112" spans="1:75" ht="16.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</row>
    <row r="113" spans="1:75" ht="16.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</row>
    <row r="114" spans="1:75" ht="16.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</row>
    <row r="115" spans="1:75" ht="16.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</row>
    <row r="116" spans="1:75" ht="16.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</row>
    <row r="117" spans="1:75" ht="16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</row>
    <row r="118" spans="1:75" ht="16.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</row>
    <row r="119" spans="1:75" ht="16.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</row>
    <row r="120" spans="1:75" ht="16.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</row>
    <row r="121" spans="1:75" ht="16.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</row>
    <row r="122" spans="1:75" ht="16.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</row>
    <row r="123" spans="1:75" ht="16.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</row>
    <row r="124" spans="1:75" ht="16.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</row>
    <row r="125" spans="1:75" ht="16.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</row>
    <row r="126" spans="1:75" ht="16.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</row>
    <row r="127" spans="1:75" ht="16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</row>
    <row r="128" spans="1:75" ht="16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</row>
    <row r="129" spans="1:75" ht="16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</row>
    <row r="130" spans="1:75" ht="16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</row>
    <row r="131" spans="1:75" ht="16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</row>
    <row r="132" spans="1:75" ht="16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</row>
    <row r="133" spans="1:75" ht="16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</row>
    <row r="134" spans="1:75" ht="16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</row>
    <row r="135" spans="1:75" ht="16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</row>
    <row r="136" spans="1:75" ht="16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</row>
    <row r="137" spans="1:75" ht="16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</row>
    <row r="138" spans="1:75" ht="16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</row>
    <row r="139" spans="1:75" ht="16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</row>
    <row r="140" spans="1:75" ht="16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</row>
    <row r="141" spans="1:75" ht="16.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</row>
    <row r="142" spans="1:75" ht="16.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</row>
    <row r="143" spans="1:75" ht="16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</row>
    <row r="144" spans="1:75" ht="16.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</row>
    <row r="145" spans="1:75" ht="16.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</row>
    <row r="146" spans="1:75" ht="16.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</row>
    <row r="147" spans="1:75" ht="16.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</row>
    <row r="148" spans="1:75" ht="16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</row>
    <row r="149" spans="1:75" ht="16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</row>
    <row r="150" spans="1:75" ht="16.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</row>
    <row r="151" spans="1:75" ht="16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</row>
    <row r="152" spans="1:75" ht="16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</row>
    <row r="153" spans="1:75" ht="16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</row>
    <row r="154" spans="1:75" ht="16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</row>
    <row r="155" spans="1:75" ht="16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</row>
    <row r="156" spans="1:75" ht="16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</row>
    <row r="157" spans="1:75" ht="16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</row>
    <row r="158" spans="1:75" ht="16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</row>
    <row r="159" spans="1:75" ht="16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</row>
    <row r="160" spans="1:75" ht="16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</row>
    <row r="161" spans="1:75" ht="16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</row>
    <row r="162" spans="1:75" ht="16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</row>
    <row r="163" spans="1:75" ht="16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</row>
    <row r="164" spans="1:75" ht="16.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</row>
    <row r="165" spans="1:75" ht="16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</row>
    <row r="166" spans="1:75" ht="16.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</row>
    <row r="167" spans="1:75" ht="16.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</row>
    <row r="168" spans="1:75" ht="16.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</row>
    <row r="169" spans="1:75" ht="16.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</row>
    <row r="170" spans="1:75" ht="16.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</row>
    <row r="171" spans="1:75" ht="16.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</row>
    <row r="172" spans="1:75" ht="16.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</row>
    <row r="173" spans="1:75" ht="16.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</row>
    <row r="174" spans="1:75" ht="16.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</row>
    <row r="175" spans="1:75" ht="16.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</row>
    <row r="176" spans="1:75" ht="16.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</row>
    <row r="177" spans="1:75" ht="16.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</row>
    <row r="178" spans="1:75" ht="16.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</row>
    <row r="179" spans="1:75" ht="16.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</row>
    <row r="180" spans="1:75" ht="16.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</row>
    <row r="181" spans="1:75" ht="16.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</row>
    <row r="182" spans="1:75" ht="16.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</row>
    <row r="183" spans="1:75" ht="16.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</row>
    <row r="184" spans="1:75" ht="16.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</row>
    <row r="185" spans="1:75" ht="16.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</row>
    <row r="186" spans="1:75" ht="16.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</row>
    <row r="187" spans="1:75" ht="16.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</row>
    <row r="188" spans="1:75" ht="16.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</row>
    <row r="189" spans="1:75" ht="16.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</row>
    <row r="190" spans="1:75" ht="16.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</row>
    <row r="191" spans="1:75" ht="16.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</row>
    <row r="192" spans="1:75" ht="16.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</row>
    <row r="193" spans="1:75" ht="16.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</row>
    <row r="194" spans="1:75" ht="16.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</row>
    <row r="195" spans="1:75" ht="16.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</row>
    <row r="196" spans="1:75" ht="16.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</row>
    <row r="197" spans="1:75" ht="16.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</row>
    <row r="198" spans="1:75" ht="16.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</row>
    <row r="199" spans="1:75" ht="16.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</row>
    <row r="200" spans="1:75" ht="16.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</row>
    <row r="201" spans="1:75" ht="16.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</row>
    <row r="202" spans="1:75" ht="16.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</row>
    <row r="203" spans="1:75" ht="16.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</row>
    <row r="204" spans="1:75" ht="16.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</row>
    <row r="205" spans="1:75" ht="16.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</row>
    <row r="206" spans="1:75" ht="16.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</row>
    <row r="207" spans="1:75" ht="16.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</row>
    <row r="208" spans="1:75" ht="16.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</row>
    <row r="209" spans="1:75" ht="16.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</row>
    <row r="210" spans="1:75" ht="16.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</row>
    <row r="211" spans="1:75" ht="16.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</row>
    <row r="212" spans="1:75" ht="16.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</row>
    <row r="213" spans="1:75" ht="16.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</row>
    <row r="214" spans="1:75" ht="16.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</row>
    <row r="215" spans="1:75" ht="16.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</row>
    <row r="216" spans="1:75" ht="16.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</row>
    <row r="217" spans="1:75" ht="16.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</row>
    <row r="218" spans="1:75" ht="16.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</row>
    <row r="219" spans="1:75" ht="16.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</row>
    <row r="220" spans="1:75" ht="16.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</row>
    <row r="221" spans="1:75" ht="16.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</row>
    <row r="222" spans="1:75" ht="16.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</row>
    <row r="223" spans="1:75" ht="16.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</row>
    <row r="224" spans="1:75" ht="16.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</row>
    <row r="225" spans="1:75" ht="16.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</row>
    <row r="226" spans="1:75" ht="16.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</row>
    <row r="227" spans="1:75" ht="16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</row>
    <row r="228" spans="1:75" ht="16.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</row>
    <row r="229" spans="1:75" ht="16.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</row>
    <row r="230" spans="1:75" ht="16.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</row>
    <row r="231" spans="1:75" ht="16.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</row>
    <row r="232" spans="1:75" ht="16.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</row>
    <row r="233" spans="1:75" ht="16.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</row>
    <row r="234" spans="1:75" ht="16.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</row>
    <row r="235" spans="1:75" ht="16.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</row>
    <row r="236" spans="1:75" ht="16.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</row>
    <row r="237" spans="1:75" ht="16.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</row>
    <row r="238" spans="1:75" ht="16.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</row>
    <row r="239" spans="1:75" ht="16.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</row>
    <row r="240" spans="1:75" ht="16.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</row>
    <row r="241" spans="1:75" ht="16.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</row>
    <row r="242" spans="1:75" ht="16.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</row>
    <row r="243" spans="1:75" ht="16.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</row>
    <row r="244" spans="1:75" ht="16.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</row>
    <row r="245" spans="1:75" ht="16.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</row>
    <row r="246" spans="1:75" ht="16.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</row>
    <row r="247" spans="1:75" ht="16.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</row>
    <row r="248" spans="1:75" ht="16.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</row>
    <row r="249" spans="1:75" ht="16.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</row>
    <row r="250" spans="1:75" ht="16.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</row>
    <row r="251" spans="1:75" ht="16.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</row>
    <row r="252" spans="1:75" ht="16.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</row>
    <row r="253" spans="1:75" ht="16.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</row>
    <row r="254" spans="1:75" ht="16.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</row>
    <row r="255" spans="1:75" ht="16.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</row>
    <row r="256" spans="1:75" ht="16.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</row>
    <row r="257" spans="1:75" ht="16.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</row>
    <row r="258" spans="1:75" ht="16.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</row>
    <row r="259" spans="1:75" ht="16.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</row>
    <row r="260" spans="1:75" ht="16.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</row>
    <row r="261" spans="1:75" ht="16.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</row>
    <row r="262" spans="1:75" ht="16.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</row>
    <row r="263" spans="1:75" ht="16.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</row>
    <row r="264" spans="1:75" ht="16.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</row>
    <row r="265" spans="1:75" ht="16.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</row>
    <row r="266" spans="1:75" ht="16.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</row>
    <row r="267" spans="1:75" ht="16.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</row>
    <row r="268" spans="1:75" ht="16.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</row>
    <row r="269" spans="1:75" ht="16.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</row>
    <row r="270" spans="1:75" ht="16.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</row>
    <row r="271" spans="1:75" ht="16.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</row>
    <row r="272" spans="1:75" ht="16.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</row>
    <row r="273" spans="1:75" ht="16.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</row>
    <row r="274" spans="1:75" ht="16.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</row>
    <row r="275" spans="1:75" ht="16.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</row>
    <row r="276" spans="1:75" ht="16.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</row>
    <row r="277" spans="1:75" ht="16.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</row>
    <row r="278" spans="1:75" ht="16.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</row>
    <row r="279" spans="1:75" ht="16.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</row>
    <row r="280" spans="1:75" ht="16.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</row>
    <row r="281" spans="1:75" ht="16.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</row>
    <row r="282" spans="1:75" ht="16.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</row>
    <row r="283" spans="1:75" ht="16.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</row>
    <row r="284" spans="1:75" ht="16.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</row>
    <row r="285" spans="1:75" ht="16.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</row>
    <row r="286" spans="1:75" ht="16.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</row>
    <row r="287" spans="1:75" ht="16.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</row>
    <row r="288" spans="1:75" ht="16.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</row>
    <row r="289" spans="1:75" ht="16.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</row>
    <row r="290" spans="1:75" ht="16.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</row>
    <row r="291" spans="1:75" ht="16.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</row>
    <row r="292" spans="1:75" ht="16.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</row>
    <row r="293" spans="1:75" ht="16.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</row>
    <row r="294" spans="1:75" ht="16.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</row>
    <row r="295" spans="1:75" ht="16.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</row>
    <row r="296" spans="1:75" ht="16.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</row>
    <row r="297" spans="1:75" ht="16.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</row>
    <row r="298" spans="1:75" ht="16.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</row>
    <row r="299" spans="1:75" ht="16.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</row>
    <row r="300" spans="1:75" ht="16.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</row>
    <row r="301" spans="1:75" ht="16.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</row>
    <row r="302" spans="1:75" ht="16.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</row>
    <row r="303" spans="1:75" ht="16.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</row>
    <row r="304" spans="1:75" ht="16.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</row>
    <row r="305" spans="1:75" ht="16.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</row>
    <row r="306" spans="1:75" ht="16.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</row>
    <row r="307" spans="1:75" ht="16.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</row>
    <row r="308" spans="1:75" ht="16.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</row>
    <row r="309" spans="1:75" ht="16.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</row>
    <row r="310" spans="1:75" ht="16.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</row>
    <row r="311" spans="1:75" ht="16.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</row>
    <row r="312" spans="1:75" ht="16.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</row>
    <row r="313" spans="1:75" ht="16.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</row>
    <row r="314" spans="1:75" ht="16.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</row>
    <row r="315" spans="1:75" ht="16.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</row>
    <row r="316" spans="1:75" ht="16.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</row>
    <row r="317" spans="1:75" ht="16.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</row>
    <row r="318" spans="1:75" ht="16.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</row>
    <row r="319" spans="1:75" ht="16.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</row>
    <row r="320" spans="1:75" ht="16.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</row>
    <row r="321" spans="1:75" ht="16.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</row>
    <row r="322" spans="1:75" ht="16.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</row>
    <row r="323" spans="1:75" ht="16.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</row>
    <row r="324" spans="1:75" ht="16.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</row>
    <row r="325" spans="1:75" ht="16.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</row>
    <row r="326" spans="1:75" ht="16.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</row>
    <row r="327" spans="1:75" ht="16.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</row>
    <row r="328" spans="1:75" ht="16.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</row>
    <row r="329" spans="1:75" ht="16.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</row>
    <row r="330" spans="1:75" ht="16.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</row>
    <row r="331" spans="1:75" ht="16.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</row>
    <row r="332" spans="1:75" ht="16.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</row>
    <row r="333" spans="1:75" ht="16.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</row>
    <row r="334" spans="1:75" ht="16.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</row>
    <row r="335" spans="1:75" ht="16.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</row>
    <row r="336" spans="1:75" ht="16.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</row>
    <row r="337" spans="1:75" ht="16.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</row>
    <row r="338" spans="1:75" ht="16.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</row>
    <row r="339" spans="1:75" ht="16.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</row>
    <row r="340" spans="1:75" ht="16.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</row>
    <row r="341" spans="1:75" ht="16.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</row>
    <row r="342" spans="1:75" ht="16.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</row>
    <row r="343" spans="1:75" ht="16.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</row>
    <row r="344" spans="1:75" ht="16.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</row>
    <row r="345" spans="1:75" ht="16.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</row>
    <row r="346" spans="1:75" ht="16.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</row>
    <row r="347" spans="1:75" ht="16.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</row>
    <row r="348" spans="1:75" ht="16.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</row>
    <row r="349" spans="1:75" ht="16.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</row>
    <row r="350" spans="1:75" ht="16.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</row>
    <row r="351" spans="1:75" ht="16.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</row>
    <row r="352" spans="1:75" ht="16.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</row>
    <row r="353" spans="1:75" ht="16.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</row>
    <row r="354" spans="1:75" ht="16.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</row>
    <row r="355" spans="1:75" ht="16.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</row>
    <row r="356" spans="1:75" ht="16.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</row>
    <row r="357" spans="1:75" ht="16.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</row>
    <row r="358" spans="1:75" ht="16.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</row>
    <row r="359" spans="1:75" ht="16.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</row>
    <row r="360" spans="1:75" ht="16.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</row>
    <row r="361" spans="1:75" ht="16.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</row>
    <row r="362" spans="1:75" ht="16.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</row>
    <row r="363" spans="1:75" ht="16.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</row>
    <row r="364" spans="1:75" ht="16.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</row>
    <row r="365" spans="1:75" ht="16.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</row>
    <row r="366" spans="1:75" ht="16.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</row>
    <row r="367" spans="1:75" ht="16.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</row>
    <row r="368" spans="1:75" ht="16.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</row>
    <row r="369" spans="1:75" ht="16.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</row>
    <row r="370" spans="1:75" ht="16.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</row>
    <row r="371" spans="1:75" ht="16.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</row>
    <row r="372" spans="1:75" ht="16.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</row>
    <row r="373" spans="1:75" ht="16.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</row>
    <row r="374" spans="1:75" ht="16.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</row>
    <row r="375" spans="1:75" ht="16.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</row>
    <row r="376" spans="1:75" ht="16.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</row>
    <row r="377" spans="1:75" ht="16.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</row>
    <row r="378" spans="1:75" ht="16.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</row>
    <row r="379" spans="1:75" ht="16.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</row>
    <row r="380" spans="1:75" ht="16.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</row>
    <row r="381" spans="1:75" ht="16.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</row>
    <row r="382" spans="1:75" ht="16.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</row>
    <row r="383" spans="1:75" ht="16.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</row>
    <row r="384" spans="1:75" ht="16.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</row>
    <row r="385" spans="1:75" ht="16.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</row>
    <row r="386" spans="1:75" ht="16.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</row>
    <row r="387" spans="1:75" ht="16.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</row>
    <row r="388" spans="1:75" ht="16.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</row>
    <row r="389" spans="1:75" ht="16.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</row>
    <row r="390" spans="1:75" ht="16.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</row>
    <row r="391" spans="1:75" ht="16.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</row>
    <row r="392" spans="1:75" ht="16.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</row>
    <row r="393" spans="1:75" ht="16.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</row>
    <row r="394" spans="1:75" ht="16.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</row>
    <row r="395" spans="1:75" ht="16.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</row>
    <row r="396" spans="1:75" ht="16.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</row>
    <row r="397" spans="1:75" ht="16.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</row>
    <row r="398" spans="1:75" ht="16.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</row>
    <row r="399" spans="1:75" ht="16.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</row>
    <row r="400" spans="1:75" ht="16.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</row>
    <row r="401" spans="1:75" ht="16.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</row>
    <row r="402" spans="1:75" ht="16.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</row>
    <row r="403" spans="1:75" ht="16.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</row>
    <row r="404" spans="1:75" ht="16.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</row>
    <row r="405" spans="1:75" ht="16.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</row>
    <row r="406" spans="1:75" ht="16.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</row>
    <row r="407" spans="1:75" ht="16.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</row>
    <row r="408" spans="1:75" ht="16.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</row>
    <row r="409" spans="1:75" ht="16.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</row>
    <row r="410" spans="1:75" ht="16.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</row>
    <row r="411" spans="1:75" ht="16.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</row>
    <row r="412" spans="1:75" ht="16.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</row>
    <row r="413" spans="1:75" ht="16.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</row>
    <row r="414" spans="1:75" ht="16.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</row>
    <row r="415" spans="1:75" ht="16.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</row>
    <row r="416" spans="1:75" ht="16.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</row>
    <row r="417" spans="1:75" ht="16.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</row>
    <row r="418" spans="1:75" ht="16.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</row>
    <row r="419" spans="1:75" ht="16.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</row>
    <row r="420" spans="1:75" ht="16.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</row>
    <row r="421" spans="1:75" ht="16.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</row>
    <row r="422" spans="1:75" ht="16.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</row>
    <row r="423" spans="1:75" ht="16.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</row>
    <row r="424" spans="1:75" ht="16.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</row>
    <row r="425" spans="1:75" ht="16.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</row>
    <row r="426" spans="1:75" ht="16.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</row>
    <row r="427" spans="1:75" ht="16.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</row>
    <row r="428" spans="1:75" ht="16.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</row>
    <row r="429" spans="1:75" ht="16.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</row>
    <row r="430" spans="1:75" ht="16.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</row>
    <row r="431" spans="1:75" ht="16.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</row>
    <row r="432" spans="1:75" ht="16.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</row>
    <row r="433" spans="1:75" ht="16.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</row>
    <row r="434" spans="1:75" ht="16.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</row>
    <row r="435" spans="1:75" ht="16.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</row>
    <row r="436" spans="1:75" ht="16.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</row>
    <row r="437" spans="1:75" ht="16.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</row>
    <row r="438" spans="1:75" ht="16.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</row>
    <row r="439" spans="1:75" ht="16.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</row>
    <row r="440" spans="1:75" ht="16.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</row>
    <row r="441" spans="1:75" ht="16.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</row>
    <row r="442" spans="1:75" ht="16.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</row>
    <row r="443" spans="1:75" ht="16.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</row>
    <row r="444" spans="1:75" ht="16.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</row>
    <row r="445" spans="1:75" ht="16.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</row>
    <row r="446" spans="1:75" ht="16.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</row>
    <row r="447" spans="1:75" ht="16.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</row>
    <row r="448" spans="1:75" ht="16.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</row>
    <row r="449" spans="1:75" ht="16.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</row>
    <row r="450" spans="1:75" ht="16.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</row>
    <row r="451" spans="1:75" ht="16.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</row>
    <row r="452" spans="1:75" ht="16.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</row>
    <row r="453" spans="1:75" ht="16.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</row>
    <row r="454" spans="1:75" ht="16.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</row>
    <row r="455" spans="1:75" ht="16.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</row>
    <row r="456" spans="1:75" ht="16.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</row>
    <row r="457" spans="1:75" ht="16.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</row>
    <row r="458" spans="1:75" ht="16.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</row>
    <row r="459" spans="1:75" ht="16.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</row>
    <row r="460" spans="1:75" ht="16.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</row>
    <row r="461" spans="1:75" ht="16.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</row>
    <row r="462" spans="1:75" ht="16.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</row>
    <row r="463" spans="1:75" ht="16.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</row>
    <row r="464" spans="1:75" ht="16.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</row>
    <row r="465" spans="1:75" ht="16.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</row>
    <row r="466" spans="1:75" ht="16.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</row>
    <row r="467" spans="1:75" ht="16.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</row>
    <row r="468" spans="1:75" ht="16.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</row>
    <row r="469" spans="1:75" ht="16.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</row>
    <row r="470" spans="1:75" ht="16.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</row>
    <row r="471" spans="1:75" ht="16.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</row>
    <row r="472" spans="1:75" ht="16.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</row>
    <row r="473" spans="1:75" ht="16.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</row>
    <row r="474" spans="1:75" ht="16.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</row>
    <row r="475" spans="1:75" ht="16.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</row>
    <row r="476" spans="1:75" ht="16.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</row>
    <row r="477" spans="1:75" ht="16.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</row>
    <row r="478" spans="1:75" ht="16.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</row>
    <row r="479" spans="1:75" ht="16.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</row>
    <row r="480" spans="1:75" ht="16.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</row>
    <row r="481" spans="1:75" ht="16.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</row>
    <row r="482" spans="1:75" ht="16.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</row>
    <row r="483" spans="1:75" ht="16.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</row>
    <row r="484" spans="1:75" ht="16.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</row>
    <row r="485" spans="1:75" ht="16.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</row>
    <row r="486" spans="1:75" ht="16.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</row>
    <row r="487" spans="1:75" ht="16.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</row>
    <row r="488" spans="1:75" ht="16.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</row>
    <row r="489" spans="1:75" ht="16.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</row>
    <row r="490" spans="1:75" ht="16.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</row>
    <row r="491" spans="1:75" ht="16.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</row>
    <row r="492" spans="1:75" ht="16.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</row>
    <row r="493" spans="1:75" ht="16.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</row>
    <row r="494" spans="1:75" ht="16.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</row>
    <row r="495" spans="1:75" ht="16.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</row>
    <row r="496" spans="1:75" ht="16.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</row>
    <row r="497" spans="1:75" ht="16.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</row>
    <row r="498" spans="1:75" ht="16.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</row>
    <row r="499" spans="1:75" ht="16.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</row>
    <row r="500" spans="1:75" ht="16.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</row>
    <row r="501" spans="1:75" ht="16.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</row>
    <row r="502" spans="1:75" ht="16.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</row>
    <row r="503" spans="1:75" ht="16.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</row>
    <row r="504" spans="1:75" ht="16.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</row>
    <row r="505" spans="1:75" ht="16.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</row>
    <row r="506" spans="1:75" ht="16.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</row>
    <row r="507" spans="1:75" ht="16.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</row>
    <row r="508" spans="1:75" ht="16.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</row>
    <row r="509" spans="1:75" ht="16.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</row>
    <row r="510" spans="1:75" ht="16.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</row>
    <row r="511" spans="1:75" ht="16.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</row>
    <row r="512" spans="1:75" ht="16.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</row>
    <row r="513" spans="1:75" ht="16.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</row>
    <row r="514" spans="1:75" ht="16.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</row>
    <row r="515" spans="1:75" ht="16.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</row>
    <row r="516" spans="1:75" ht="16.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</row>
    <row r="517" spans="1:75" ht="16.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</row>
    <row r="518" spans="1:75" ht="16.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</row>
    <row r="519" spans="1:75" ht="16.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</row>
    <row r="520" spans="1:75" ht="16.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</row>
    <row r="521" spans="1:75" ht="16.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</row>
    <row r="522" spans="1:75" ht="16.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</row>
    <row r="523" spans="1:75" ht="16.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</row>
    <row r="524" spans="1:75" ht="16.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</row>
    <row r="525" spans="1:75" ht="16.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</row>
    <row r="526" spans="1:75" ht="16.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</row>
    <row r="527" spans="1:75" ht="16.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</row>
    <row r="528" spans="1:75" ht="16.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</row>
    <row r="529" spans="1:75" ht="16.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</row>
    <row r="530" spans="1:75" ht="16.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</row>
    <row r="531" spans="1:75" ht="16.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</row>
    <row r="532" spans="1:75" ht="16.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</row>
    <row r="533" spans="1:75" ht="16.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</row>
    <row r="534" spans="1:75" ht="16.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</row>
    <row r="535" spans="1:75" ht="16.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</row>
    <row r="536" spans="1:75" ht="16.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</row>
    <row r="537" spans="1:75" ht="16.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</row>
    <row r="538" spans="1:75" ht="16.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</row>
    <row r="539" spans="1:75" ht="16.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</row>
    <row r="540" spans="1:75" ht="16.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</row>
    <row r="541" spans="1:75" ht="16.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</row>
    <row r="542" spans="1:75" ht="16.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</row>
    <row r="543" spans="1:75" ht="16.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</row>
    <row r="544" spans="1:75" ht="16.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</row>
    <row r="545" spans="1:75" ht="16.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</row>
    <row r="546" spans="1:75" ht="16.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</row>
    <row r="547" spans="1:75" ht="16.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</row>
    <row r="548" spans="1:75" ht="16.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</row>
    <row r="549" spans="1:75" ht="16.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</row>
    <row r="550" spans="1:75" ht="16.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</row>
    <row r="551" spans="1:75" ht="16.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</row>
    <row r="552" spans="1:75" ht="16.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</row>
    <row r="553" spans="1:75" ht="16.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</row>
    <row r="554" spans="1:75" ht="16.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</row>
    <row r="555" spans="1:75" ht="16.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</row>
    <row r="556" spans="1:75" ht="16.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</row>
    <row r="557" spans="1:75" ht="16.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</row>
    <row r="558" spans="1:75" ht="16.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</row>
    <row r="559" spans="1:75" ht="16.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</row>
    <row r="560" spans="1:75" ht="16.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</row>
    <row r="561" spans="1:75" ht="16.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</row>
    <row r="562" spans="1:75" ht="16.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</row>
    <row r="563" spans="1:75" ht="16.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</row>
    <row r="564" spans="1:75" ht="16.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</row>
    <row r="565" spans="1:75" ht="16.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</row>
    <row r="566" spans="1:75" ht="16.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</row>
    <row r="567" spans="1:75" ht="16.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</row>
    <row r="568" spans="1:75" ht="16.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</row>
    <row r="569" spans="1:75" ht="16.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</row>
    <row r="570" spans="1:75" ht="16.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</row>
    <row r="571" spans="1:75" ht="16.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</row>
    <row r="572" spans="1:75" ht="16.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</row>
    <row r="573" spans="1:75" ht="16.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</row>
    <row r="574" spans="1:75" ht="16.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</row>
    <row r="575" spans="1:75" ht="16.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</row>
    <row r="576" spans="1:75" ht="16.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</row>
    <row r="577" spans="1:75" ht="16.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</row>
    <row r="578" spans="1:75" ht="16.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</row>
    <row r="579" spans="1:75" ht="16.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</row>
    <row r="580" spans="1:75" ht="16.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</row>
    <row r="581" spans="1:75" ht="16.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</row>
    <row r="582" spans="1:75" ht="16.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</row>
    <row r="583" spans="1:75" ht="16.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</row>
    <row r="584" spans="1:75" ht="16.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</row>
    <row r="585" spans="1:75" ht="16.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</row>
    <row r="586" spans="1:75" ht="16.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</row>
    <row r="587" spans="1:75" ht="16.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</row>
    <row r="588" spans="1:75" ht="16.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</row>
    <row r="589" spans="1:75" ht="16.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</row>
    <row r="590" spans="1:75" ht="16.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</row>
    <row r="591" spans="1:75" ht="16.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</row>
    <row r="592" spans="1:75" ht="16.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</row>
    <row r="593" spans="1:75" ht="16.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</row>
    <row r="594" spans="1:75" ht="16.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</row>
    <row r="595" spans="1:75" ht="16.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</row>
    <row r="596" spans="1:75" ht="16.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</row>
    <row r="597" spans="1:75" ht="16.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</row>
    <row r="598" spans="1:75" ht="16.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</row>
    <row r="599" spans="1:75" ht="16.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</row>
    <row r="600" spans="1:75" ht="16.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</row>
    <row r="601" spans="1:75" ht="16.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</row>
    <row r="602" spans="1:75" ht="16.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</row>
    <row r="603" spans="1:75" ht="16.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</row>
    <row r="604" spans="1:75" ht="16.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</row>
    <row r="605" spans="1:75" ht="16.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</row>
    <row r="606" spans="1:75" ht="16.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</row>
    <row r="607" spans="1:75" ht="16.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</row>
    <row r="608" spans="1:75" ht="16.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</row>
    <row r="609" spans="1:75" ht="16.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</row>
    <row r="610" spans="1:75" ht="16.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</row>
    <row r="611" spans="1:75" ht="16.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</row>
    <row r="612" spans="1:75" ht="16.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</row>
    <row r="613" spans="1:75" ht="16.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</row>
    <row r="614" spans="1:75" ht="16.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</row>
    <row r="615" spans="1:75" ht="16.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</row>
    <row r="616" spans="1:75" ht="16.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</row>
    <row r="617" spans="1:75" ht="16.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</row>
    <row r="618" spans="1:75" ht="16.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</row>
    <row r="619" spans="1:75" ht="16.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</row>
    <row r="620" spans="1:75" ht="16.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</row>
    <row r="621" spans="1:75" ht="16.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</row>
    <row r="622" spans="1:75" ht="16.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</row>
    <row r="623" spans="1:75" ht="16.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</row>
    <row r="624" spans="1:75" ht="16.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</row>
    <row r="625" spans="1:75" ht="16.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</row>
    <row r="626" spans="1:75" ht="16.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</row>
    <row r="627" spans="1:75" ht="16.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</row>
    <row r="628" spans="1:75" ht="16.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</row>
    <row r="629" spans="1:75" ht="16.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</row>
    <row r="630" spans="1:75" ht="16.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</row>
    <row r="631" spans="1:75" ht="16.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</row>
    <row r="632" spans="1:75" ht="16.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</row>
    <row r="633" spans="1:75" ht="16.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</row>
    <row r="634" spans="1:75" ht="16.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</row>
    <row r="635" spans="1:75" ht="16.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</row>
    <row r="636" spans="1:75" ht="16.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</row>
    <row r="637" spans="1:75" ht="16.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</row>
    <row r="638" spans="1:75" ht="16.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</row>
    <row r="639" spans="1:75" ht="16.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</row>
    <row r="640" spans="1:75" ht="16.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</row>
    <row r="641" spans="1:75" ht="16.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</row>
    <row r="642" spans="1:75" ht="16.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</row>
    <row r="643" spans="1:75" ht="16.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</row>
    <row r="644" spans="1:75" ht="16.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</row>
    <row r="645" spans="1:75" ht="16.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</row>
    <row r="646" spans="1:75" ht="16.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</row>
    <row r="647" spans="1:75" ht="16.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</row>
    <row r="648" spans="1:75" ht="16.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</row>
    <row r="649" spans="1:75" ht="16.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</row>
    <row r="650" spans="1:75" ht="16.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</row>
    <row r="651" spans="1:75" ht="16.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</row>
    <row r="652" spans="1:75" ht="16.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</row>
    <row r="653" spans="1:75" ht="16.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</row>
    <row r="654" spans="1:75" ht="16.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</row>
    <row r="655" spans="1:75" ht="16.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</row>
    <row r="656" spans="1:75" ht="16.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</row>
    <row r="657" spans="1:75" ht="16.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</row>
    <row r="658" spans="1:75" ht="16.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</row>
    <row r="659" spans="1:75" ht="16.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</row>
    <row r="660" spans="1:75" ht="16.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</row>
    <row r="661" spans="1:75" ht="16.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</row>
    <row r="662" spans="1:75" ht="16.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</row>
    <row r="663" spans="1:75" ht="16.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</row>
    <row r="664" spans="1:75" ht="16.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</row>
    <row r="665" spans="1:75" ht="16.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</row>
    <row r="666" spans="1:75" ht="16.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</row>
    <row r="667" spans="1:75" ht="16.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</row>
    <row r="668" spans="1:75" ht="16.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</row>
    <row r="669" spans="1:75" ht="16.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</row>
    <row r="670" spans="1:75" ht="16.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</row>
    <row r="671" spans="1:75" ht="16.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</row>
    <row r="672" spans="1:75" ht="16.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</row>
    <row r="673" spans="1:75" ht="16.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</row>
    <row r="674" spans="1:75" ht="16.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</row>
    <row r="675" spans="1:75" ht="16.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</row>
    <row r="676" spans="1:75" ht="16.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</row>
    <row r="677" spans="1:75" ht="16.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</row>
    <row r="678" spans="1:75" ht="16.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</row>
    <row r="679" spans="1:75" ht="16.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</row>
    <row r="680" spans="1:75" ht="16.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</row>
    <row r="681" spans="1:75" ht="16.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</row>
    <row r="682" spans="1:75" ht="16.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</row>
    <row r="683" spans="1:75" ht="16.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</row>
    <row r="684" spans="1:75" ht="16.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</row>
    <row r="685" spans="1:75" ht="16.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</row>
    <row r="686" spans="1:75" ht="16.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</row>
    <row r="687" spans="1:75" ht="16.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</row>
    <row r="688" spans="1:75" ht="16.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</row>
    <row r="689" spans="1:75" ht="16.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</row>
    <row r="690" spans="1:75" ht="16.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</row>
    <row r="691" spans="1:75" ht="16.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</row>
    <row r="692" spans="1:75" ht="16.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</row>
    <row r="693" spans="1:75" ht="16.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</row>
    <row r="694" spans="1:75" ht="16.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</row>
    <row r="695" spans="1:75" ht="16.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</row>
    <row r="696" spans="1:75" ht="16.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</row>
    <row r="697" spans="1:75" ht="16.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</row>
    <row r="698" spans="1:75" ht="16.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</row>
    <row r="699" spans="1:75" ht="16.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</row>
    <row r="700" spans="1:75" ht="16.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</row>
    <row r="701" spans="1:75" ht="16.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</row>
    <row r="702" spans="1:75" ht="16.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</row>
    <row r="703" spans="1:75" ht="16.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</row>
    <row r="704" spans="1:75" ht="16.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</row>
    <row r="705" spans="1:75" ht="16.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</row>
    <row r="706" spans="1:75" ht="16.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</row>
    <row r="707" spans="1:75" ht="16.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</row>
    <row r="708" spans="1:75" ht="16.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</row>
    <row r="709" spans="1:75" ht="16.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</row>
    <row r="710" spans="1:75" ht="16.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</row>
    <row r="711" spans="1:75" ht="16.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</row>
    <row r="712" spans="1:75" ht="16.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</row>
    <row r="713" spans="1:75" ht="16.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</row>
    <row r="714" spans="1:75" ht="16.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</row>
    <row r="715" spans="1:75" ht="16.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</row>
    <row r="716" spans="1:75" ht="16.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</row>
    <row r="717" spans="1:75" ht="16.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</row>
    <row r="718" spans="1:75" ht="16.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</row>
    <row r="719" spans="1:75" ht="16.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</row>
    <row r="720" spans="1:75" ht="16.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</row>
    <row r="721" spans="1:75" ht="16.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</row>
    <row r="722" spans="1:75" ht="16.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</row>
    <row r="723" spans="1:75" ht="16.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</row>
    <row r="724" spans="1:75" ht="16.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</row>
    <row r="725" spans="1:75" ht="16.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</row>
    <row r="726" spans="1:75" ht="16.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</row>
    <row r="727" spans="1:75" ht="16.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</row>
    <row r="728" spans="1:75" ht="16.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</row>
    <row r="729" spans="1:75" ht="16.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</row>
    <row r="730" spans="1:75" ht="16.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</row>
    <row r="731" spans="1:75" ht="16.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</row>
    <row r="732" spans="1:75" ht="16.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</row>
    <row r="733" spans="1:75" ht="16.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</row>
    <row r="734" spans="1:75" ht="16.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</row>
    <row r="735" spans="1:75" ht="16.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</row>
    <row r="736" spans="1:75" ht="16.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</row>
    <row r="737" spans="1:75" ht="16.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</row>
    <row r="738" spans="1:75" ht="16.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</row>
    <row r="739" spans="1:75" ht="16.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</row>
    <row r="740" spans="1:75" ht="16.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</row>
    <row r="741" spans="1:75" ht="16.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</row>
    <row r="742" spans="1:75" ht="16.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</row>
    <row r="743" spans="1:75" ht="16.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</row>
    <row r="744" spans="1:75" ht="16.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</row>
    <row r="745" spans="1:75" ht="16.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</row>
    <row r="746" spans="1:75" ht="16.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</row>
    <row r="747" spans="1:75" ht="16.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</row>
    <row r="748" spans="1:75" ht="16.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</row>
    <row r="749" spans="1:75" ht="16.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</row>
    <row r="750" spans="1:75" ht="16.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</row>
    <row r="751" spans="1:75" ht="16.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</row>
    <row r="752" spans="1:75" ht="16.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</row>
    <row r="753" spans="1:75" ht="16.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</row>
    <row r="754" spans="1:75" ht="16.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</row>
    <row r="755" spans="1:75" ht="16.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</row>
    <row r="756" spans="1:75" ht="16.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</row>
    <row r="757" spans="1:75" ht="16.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</row>
    <row r="758" spans="1:75" ht="16.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</row>
    <row r="759" spans="1:75" ht="16.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</row>
    <row r="760" spans="1:75" ht="16.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</row>
    <row r="761" spans="1:75" ht="16.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</row>
    <row r="762" spans="1:75" ht="16.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</row>
    <row r="763" spans="1:75" ht="16.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</row>
    <row r="764" spans="1:75" ht="16.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</row>
    <row r="765" spans="1:75" ht="16.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</row>
    <row r="766" spans="1:75" ht="16.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</row>
    <row r="767" spans="1:75" ht="16.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</row>
    <row r="768" spans="1:75" ht="16.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</row>
    <row r="769" spans="1:75" ht="16.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</row>
    <row r="770" spans="1:75" ht="16.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</row>
    <row r="771" spans="1:75" ht="16.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</row>
    <row r="772" spans="1:75" ht="16.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</row>
    <row r="773" spans="1:75" ht="16.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</row>
    <row r="774" spans="1:75" ht="16.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</row>
    <row r="775" spans="1:75" ht="16.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</row>
    <row r="776" spans="1:75" ht="16.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</row>
    <row r="777" spans="1:75" ht="16.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</row>
    <row r="778" spans="1:75" ht="16.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</row>
    <row r="779" spans="1:75" ht="16.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</row>
    <row r="780" spans="1:75" ht="16.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</row>
    <row r="781" spans="1:75" ht="16.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</row>
    <row r="782" spans="1:75" ht="16.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</row>
    <row r="783" spans="1:75" ht="16.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</row>
    <row r="784" spans="1:75" ht="16.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</row>
    <row r="785" spans="1:75" ht="16.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</row>
    <row r="786" spans="1:75" ht="16.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</row>
    <row r="787" spans="1:75" ht="16.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</row>
    <row r="788" spans="1:75" ht="16.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</row>
    <row r="789" spans="1:75" ht="16.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</row>
    <row r="790" spans="1:75" ht="16.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</row>
    <row r="791" spans="1:75" ht="16.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</row>
    <row r="792" spans="1:75" ht="16.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</row>
    <row r="793" spans="1:75" ht="16.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</row>
    <row r="794" spans="1:75" ht="16.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</row>
    <row r="795" spans="1:75" ht="16.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</row>
    <row r="796" spans="1:75" ht="16.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</row>
    <row r="797" spans="1:75" ht="16.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</row>
    <row r="798" spans="1:75" ht="16.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</row>
    <row r="799" spans="1:75" ht="16.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</row>
    <row r="800" spans="1:75" ht="16.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</row>
    <row r="801" spans="1:75" ht="16.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</row>
    <row r="802" spans="1:75" ht="16.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</row>
    <row r="803" spans="1:75" ht="16.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</row>
    <row r="804" spans="1:75" ht="16.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</row>
    <row r="805" spans="1:75" ht="16.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</row>
    <row r="806" spans="1:75" ht="16.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</row>
    <row r="807" spans="1:75" ht="16.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</row>
    <row r="808" spans="1:75" ht="16.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</row>
    <row r="809" spans="1:75" ht="16.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</row>
    <row r="810" spans="1:75" ht="16.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</row>
    <row r="811" spans="1:75" ht="16.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</row>
    <row r="812" spans="1:75" ht="16.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</row>
    <row r="813" spans="1:75" ht="16.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</row>
    <row r="814" spans="1:75" ht="16.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</row>
    <row r="815" spans="1:75" ht="16.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</row>
    <row r="816" spans="1:75" ht="16.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</row>
    <row r="817" spans="1:75" ht="16.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</row>
    <row r="818" spans="1:75" ht="16.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</row>
    <row r="819" spans="1:75" ht="16.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</row>
    <row r="820" spans="1:75" ht="16.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</row>
    <row r="821" spans="1:75" ht="16.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</row>
    <row r="822" spans="1:75" ht="16.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</row>
    <row r="823" spans="1:75" ht="16.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</row>
    <row r="824" spans="1:75" ht="16.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</row>
    <row r="825" spans="1:75" ht="16.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</row>
    <row r="826" spans="1:75" ht="16.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</row>
    <row r="827" spans="1:75" ht="16.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</row>
    <row r="828" spans="1:75" ht="16.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</row>
    <row r="829" spans="1:75" ht="16.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</row>
    <row r="830" spans="1:75" ht="16.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</row>
    <row r="831" spans="1:75" ht="16.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</row>
    <row r="832" spans="1:75" ht="16.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</row>
    <row r="833" spans="1:75" ht="16.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</row>
    <row r="834" spans="1:75" ht="16.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</row>
    <row r="835" spans="1:75" ht="16.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</row>
    <row r="836" spans="1:75" ht="16.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</row>
    <row r="837" spans="1:75" ht="16.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</row>
    <row r="838" spans="1:75" ht="16.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</row>
    <row r="839" spans="1:75" ht="16.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</row>
    <row r="840" spans="1:75" ht="16.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</row>
    <row r="841" spans="1:75" ht="16.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</row>
    <row r="842" spans="1:75" ht="16.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</row>
    <row r="843" spans="1:75" ht="16.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</row>
    <row r="844" spans="1:75" ht="16.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</row>
    <row r="845" spans="1:75" ht="16.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</row>
    <row r="846" spans="1:75" ht="16.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</row>
    <row r="847" spans="1:75" ht="16.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</row>
    <row r="848" spans="1:75" ht="16.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</row>
    <row r="849" spans="1:75" ht="16.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</row>
    <row r="850" spans="1:75" ht="16.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</row>
    <row r="851" spans="1:75" ht="16.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</row>
    <row r="852" spans="1:75" ht="16.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</row>
    <row r="853" spans="1:75" ht="16.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</row>
    <row r="854" spans="1:75" ht="16.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</row>
    <row r="855" spans="1:75" ht="16.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</row>
    <row r="856" spans="1:75" ht="16.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</row>
    <row r="857" spans="1:75" ht="16.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</row>
    <row r="858" spans="1:75" ht="16.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</row>
    <row r="859" spans="1:75" ht="16.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</row>
    <row r="860" spans="1:75" ht="16.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</row>
    <row r="861" spans="1:75" ht="16.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</row>
    <row r="862" spans="1:75" ht="16.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</row>
    <row r="863" spans="1:75" ht="16.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</row>
    <row r="864" spans="1:75" ht="16.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</row>
    <row r="865" spans="1:75" ht="16.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</row>
    <row r="866" spans="1:75" ht="16.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</row>
    <row r="867" spans="1:75" ht="16.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</row>
    <row r="868" spans="1:75" ht="16.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</row>
    <row r="869" spans="1:75" ht="16.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</row>
    <row r="870" spans="1:75" ht="16.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</row>
    <row r="871" spans="1:75" ht="16.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</row>
    <row r="872" spans="1:75" ht="16.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</row>
    <row r="873" spans="1:75" ht="16.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</row>
    <row r="874" spans="1:75" ht="16.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</row>
    <row r="875" spans="1:75" ht="16.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</row>
    <row r="876" spans="1:75" ht="16.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</row>
    <row r="877" spans="1:75" ht="16.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</row>
    <row r="878" spans="1:75" ht="16.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</row>
    <row r="879" spans="1:75" ht="16.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</row>
    <row r="880" spans="1:75" ht="16.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</row>
    <row r="881" spans="1:75" ht="16.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</row>
    <row r="882" spans="1:75" ht="16.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</row>
    <row r="883" spans="1:75" ht="16.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</row>
    <row r="884" spans="1:75" ht="16.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</row>
    <row r="885" spans="1:75" ht="16.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</row>
    <row r="886" spans="1:75" ht="16.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</row>
    <row r="887" spans="1:75" ht="16.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</row>
    <row r="888" spans="1:75" ht="16.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</row>
    <row r="889" spans="1:75" ht="16.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</row>
    <row r="890" spans="1:75" ht="16.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</row>
    <row r="891" spans="1:75" ht="16.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</row>
    <row r="892" spans="1:75" ht="16.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</row>
    <row r="893" spans="1:75" ht="16.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</row>
    <row r="894" spans="1:75" ht="16.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</row>
    <row r="895" spans="1:75" ht="16.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</row>
    <row r="896" spans="1:75" ht="16.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</row>
    <row r="897" spans="1:75" ht="16.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</row>
    <row r="898" spans="1:75" ht="16.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</row>
    <row r="899" spans="1:75" ht="16.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</row>
    <row r="900" spans="1:75" ht="16.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</row>
    <row r="901" spans="1:75" ht="16.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</row>
    <row r="902" spans="1:75" ht="16.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</row>
    <row r="903" spans="1:75" ht="16.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</row>
    <row r="904" spans="1:75" ht="16.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</row>
    <row r="905" spans="1:75" ht="16.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</row>
    <row r="906" spans="1:75" ht="16.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</row>
    <row r="907" spans="1:75" ht="16.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</row>
    <row r="908" spans="1:75" ht="16.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</row>
    <row r="909" spans="1:75" ht="16.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</row>
    <row r="910" spans="1:75" ht="16.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</row>
    <row r="911" spans="1:75" ht="16.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</row>
    <row r="912" spans="1:75" ht="16.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</row>
    <row r="913" spans="1:75" ht="16.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</row>
    <row r="914" spans="1:75" ht="16.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</row>
    <row r="915" spans="1:75" ht="16.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</row>
    <row r="916" spans="1:75" ht="16.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</row>
    <row r="917" spans="1:75" ht="16.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</row>
    <row r="918" spans="1:75" ht="16.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</row>
    <row r="919" spans="1:75" ht="16.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</row>
    <row r="920" spans="1:75" ht="16.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</row>
    <row r="921" spans="1:75" ht="16.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</row>
    <row r="922" spans="1:75" ht="16.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</row>
    <row r="923" spans="1:75" ht="16.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</row>
    <row r="924" spans="1:75" ht="16.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</row>
    <row r="925" spans="1:75" ht="16.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</row>
    <row r="926" spans="1:75" ht="16.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</row>
    <row r="927" spans="1:75" ht="16.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</row>
    <row r="928" spans="1:75" ht="16.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</row>
    <row r="929" spans="1:75" ht="16.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</row>
    <row r="930" spans="1:75" ht="16.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</row>
    <row r="931" spans="1:75" ht="16.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</row>
    <row r="932" spans="1:75" ht="16.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</row>
    <row r="933" spans="1:75" ht="16.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</row>
    <row r="934" spans="1:75" ht="16.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</row>
    <row r="935" spans="1:75" ht="16.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</row>
    <row r="936" spans="1:75" ht="16.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</row>
    <row r="937" spans="1:75" ht="16.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</row>
    <row r="938" spans="1:75" ht="16.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</row>
    <row r="939" spans="1:75" ht="16.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</row>
    <row r="940" spans="1:75" ht="16.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</row>
    <row r="941" spans="1:75" ht="16.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</row>
    <row r="942" spans="1:75" ht="16.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</row>
    <row r="943" spans="1:75" ht="16.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</row>
    <row r="944" spans="1:75" ht="16.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</row>
    <row r="945" spans="1:75" ht="16.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</row>
    <row r="946" spans="1:75" ht="16.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</row>
    <row r="947" spans="1:75" ht="16.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</row>
    <row r="948" spans="1:75" ht="16.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</row>
    <row r="949" spans="1:75" ht="16.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</row>
    <row r="950" spans="1:75" ht="16.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</row>
    <row r="951" spans="1:75" ht="16.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</row>
    <row r="952" spans="1:75" ht="16.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</row>
    <row r="953" spans="1:75" ht="16.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</row>
    <row r="954" spans="1:75" ht="16.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</row>
    <row r="955" spans="1:75" ht="16.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</row>
    <row r="956" spans="1:75" ht="16.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</row>
    <row r="957" spans="1:75" ht="16.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</row>
    <row r="958" spans="1:75" ht="16.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</row>
    <row r="959" spans="1:75" ht="16.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</row>
    <row r="960" spans="1:75" ht="16.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</row>
    <row r="961" spans="1:75" ht="16.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</row>
    <row r="962" spans="1:75" ht="16.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</row>
    <row r="963" spans="1:75" ht="16.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</row>
    <row r="964" spans="1:75" ht="16.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</row>
    <row r="965" spans="1:75" ht="16.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</row>
    <row r="966" spans="1:75" ht="16.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</row>
    <row r="967" spans="1:75" ht="16.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</row>
    <row r="968" spans="1:75" ht="16.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</row>
    <row r="969" spans="1:75" ht="16.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</row>
    <row r="970" spans="1:75" ht="16.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</row>
    <row r="971" spans="1:75" ht="16.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</row>
    <row r="972" spans="1:75" ht="16.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</row>
    <row r="973" spans="1:75" ht="16.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</row>
    <row r="974" spans="1:75" ht="16.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</row>
    <row r="975" spans="1:75" ht="16.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</row>
    <row r="976" spans="1:75" ht="16.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</row>
    <row r="977" spans="1:75" ht="16.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</row>
    <row r="978" spans="1:75" ht="16.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</row>
    <row r="979" spans="1:75" ht="16.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</row>
    <row r="980" spans="1:75" ht="16.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</row>
    <row r="981" spans="1:75" ht="16.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</row>
    <row r="982" spans="1:75" ht="16.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</row>
    <row r="983" spans="1:75" ht="16.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</row>
    <row r="984" spans="1:75" ht="16.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</row>
    <row r="985" spans="1:75" ht="16.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</row>
    <row r="986" spans="1:75" ht="16.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</row>
    <row r="987" spans="1:75" ht="16.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</row>
    <row r="988" spans="1:75" ht="16.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</row>
    <row r="989" spans="1:75" ht="16.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</row>
    <row r="990" spans="1:75" ht="16.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</row>
    <row r="991" spans="1:75" ht="16.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</row>
    <row r="992" spans="1:75" ht="16.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</row>
    <row r="993" spans="1:75" ht="16.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</row>
    <row r="994" spans="1:75" ht="16.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</row>
    <row r="995" spans="1:75" ht="16.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</row>
    <row r="996" spans="1:75" ht="16.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</row>
    <row r="997" spans="1:75" ht="16.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</row>
    <row r="998" spans="1:75" ht="16.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</row>
    <row r="999" spans="1:75" ht="16.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</row>
    <row r="1000" spans="1:75" ht="16.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</row>
  </sheetData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Copertina</vt:lpstr>
      <vt:lpstr>BP 2022-2024 ECF 375K</vt:lpstr>
      <vt:lpstr>Tabelle</vt:lpstr>
      <vt:lpstr>Grafici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Microsoft Office User</cp:lastModifiedBy>
  <cp:revision/>
  <cp:lastPrinted>2022-06-03T12:36:21Z</cp:lastPrinted>
  <dcterms:created xsi:type="dcterms:W3CDTF">2016-03-28T18:22:40Z</dcterms:created>
  <dcterms:modified xsi:type="dcterms:W3CDTF">2022-06-03T12:37:27Z</dcterms:modified>
  <cp:category/>
  <cp:contentStatus/>
</cp:coreProperties>
</file>